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defaultThemeVersion="124226"/>
  <xr:revisionPtr revIDLastSave="0" documentId="13_ncr:1_{45A8AA34-2A1E-4FFC-A8F8-3469C5F1EB15}" xr6:coauthVersionLast="47" xr6:coauthVersionMax="47" xr10:uidLastSave="{00000000-0000-0000-0000-000000000000}"/>
  <bookViews>
    <workbookView xWindow="-120" yWindow="-120" windowWidth="20730" windowHeight="11160" tabRatio="1000" firstSheet="2" activeTab="6" xr2:uid="{00000000-000D-0000-FFFF-FFFF00000000}"/>
  </bookViews>
  <sheets>
    <sheet name="Desarrollo economico " sheetId="5" r:id="rId1"/>
    <sheet name="Conservacion del Patrimonio Nat" sheetId="2" r:id="rId2"/>
    <sheet name="SANEAMIENTO AMBIENTAL " sheetId="1" r:id="rId3"/>
    <sheet name="Educacion Ambiental y Cultural" sheetId="4" r:id="rId4"/>
    <sheet name="Conservacion Patrimonio Cultura" sheetId="3" r:id="rId5"/>
    <sheet name="Administracion " sheetId="7" r:id="rId6"/>
    <sheet name="PRESUPUESTO GENERAL " sheetId="8" r:id="rId7"/>
  </sheets>
  <externalReferences>
    <externalReference r:id="rId8"/>
  </externalReferences>
  <definedNames>
    <definedName name="_xlnm._FilterDatabase" localSheetId="6" hidden="1">'PRESUPUESTO GENERAL '!$A$4:$T$4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8" l="1"/>
  <c r="T86" i="2"/>
  <c r="T87" i="2" s="1"/>
  <c r="T77" i="2"/>
  <c r="T27" i="2"/>
  <c r="T11" i="2"/>
  <c r="D214" i="8"/>
  <c r="F214" i="8" s="1"/>
  <c r="G214" i="8" s="1"/>
  <c r="T68" i="2"/>
  <c r="F209" i="8"/>
  <c r="G209" i="8" s="1"/>
  <c r="F210" i="8"/>
  <c r="G210" i="8" s="1"/>
  <c r="F213" i="8"/>
  <c r="G213" i="8" s="1"/>
  <c r="F207" i="8"/>
  <c r="G207" i="8" s="1"/>
  <c r="F167" i="8"/>
  <c r="G167" i="8" s="1"/>
  <c r="F164" i="8"/>
  <c r="G164" i="8" s="1"/>
  <c r="F163" i="8"/>
  <c r="G163" i="8" s="1"/>
  <c r="T49" i="2"/>
  <c r="F145" i="8"/>
  <c r="G145" i="8" s="1"/>
  <c r="F144" i="8"/>
  <c r="G144" i="8" s="1"/>
  <c r="F143" i="8"/>
  <c r="G143" i="8" s="1"/>
  <c r="F138" i="8"/>
  <c r="G138" i="8" s="1"/>
  <c r="F137" i="8"/>
  <c r="G137" i="8" s="1"/>
  <c r="F136" i="8"/>
  <c r="G136" i="8" s="1"/>
  <c r="T46" i="2"/>
  <c r="G208" i="8" l="1"/>
  <c r="G142" i="8"/>
  <c r="F208" i="8"/>
  <c r="D112" i="8" l="1"/>
  <c r="F113" i="8"/>
  <c r="F112" i="8" s="1"/>
  <c r="F114" i="8"/>
  <c r="F121" i="8"/>
  <c r="F124" i="8"/>
  <c r="F123" i="8" s="1"/>
  <c r="F126" i="8"/>
  <c r="F125" i="8" s="1"/>
  <c r="F128" i="8"/>
  <c r="F129" i="8"/>
  <c r="F131" i="8"/>
  <c r="F132" i="8"/>
  <c r="F133" i="8"/>
  <c r="T39" i="2"/>
  <c r="E105" i="8"/>
  <c r="D105" i="8"/>
  <c r="F109" i="8"/>
  <c r="G109" i="8" s="1"/>
  <c r="F108" i="8"/>
  <c r="G108" i="8" s="1"/>
  <c r="T38" i="2"/>
  <c r="D101" i="8"/>
  <c r="F102" i="8"/>
  <c r="G102" i="8" s="1"/>
  <c r="F104" i="8"/>
  <c r="G104" i="8" s="1"/>
  <c r="F103" i="8"/>
  <c r="G103" i="8" s="1"/>
  <c r="E101" i="8"/>
  <c r="T37" i="2"/>
  <c r="F100" i="8"/>
  <c r="G100" i="8" s="1"/>
  <c r="F99" i="8"/>
  <c r="G99" i="8" s="1"/>
  <c r="E98" i="8"/>
  <c r="D98" i="8"/>
  <c r="T25" i="2"/>
  <c r="T23" i="2"/>
  <c r="T21" i="2"/>
  <c r="T20" i="2"/>
  <c r="T19" i="2"/>
  <c r="T18" i="2"/>
  <c r="T17" i="2"/>
  <c r="T10" i="2"/>
  <c r="T9" i="2"/>
  <c r="F18" i="8"/>
  <c r="F19" i="8"/>
  <c r="F20" i="8"/>
  <c r="F21" i="8"/>
  <c r="F28" i="8"/>
  <c r="F17" i="8"/>
  <c r="E29" i="8"/>
  <c r="T21" i="7"/>
  <c r="T22" i="7" s="1"/>
  <c r="T10" i="7"/>
  <c r="T20" i="7"/>
  <c r="T19" i="7"/>
  <c r="T17" i="7"/>
  <c r="T9" i="7"/>
  <c r="F382" i="8"/>
  <c r="G382" i="8" s="1"/>
  <c r="F383" i="8"/>
  <c r="G383" i="8" s="1"/>
  <c r="F384" i="8"/>
  <c r="G384" i="8" s="1"/>
  <c r="F385" i="8"/>
  <c r="G385" i="8" s="1"/>
  <c r="F378" i="8"/>
  <c r="G378" i="8" s="1"/>
  <c r="F379" i="8"/>
  <c r="G379" i="8" s="1"/>
  <c r="F380" i="8"/>
  <c r="G380" i="8" s="1"/>
  <c r="F381" i="8"/>
  <c r="G381" i="8" s="1"/>
  <c r="F374" i="8"/>
  <c r="G374" i="8" s="1"/>
  <c r="F375" i="8"/>
  <c r="G375" i="8" s="1"/>
  <c r="F376" i="8"/>
  <c r="G376" i="8" s="1"/>
  <c r="F377" i="8"/>
  <c r="G377" i="8" s="1"/>
  <c r="F373" i="8"/>
  <c r="G373" i="8" s="1"/>
  <c r="E372" i="8"/>
  <c r="D372" i="8"/>
  <c r="E366" i="8"/>
  <c r="D366" i="8"/>
  <c r="F369" i="8"/>
  <c r="G369" i="8" s="1"/>
  <c r="E344" i="8"/>
  <c r="D344" i="8"/>
  <c r="F359" i="8"/>
  <c r="G359" i="8" s="1"/>
  <c r="F360" i="8"/>
  <c r="G360" i="8" s="1"/>
  <c r="F361" i="8"/>
  <c r="G361" i="8" s="1"/>
  <c r="F362" i="8"/>
  <c r="G362" i="8" s="1"/>
  <c r="F363" i="8"/>
  <c r="G363" i="8" s="1"/>
  <c r="F364" i="8"/>
  <c r="G364" i="8" s="1"/>
  <c r="F371" i="8"/>
  <c r="G371" i="8" s="1"/>
  <c r="F368" i="8"/>
  <c r="G368" i="8" s="1"/>
  <c r="F370" i="8"/>
  <c r="G370" i="8" s="1"/>
  <c r="F365" i="8"/>
  <c r="G365" i="8" s="1"/>
  <c r="F367" i="8"/>
  <c r="G367" i="8" s="1"/>
  <c r="F358" i="8"/>
  <c r="G358" i="8" s="1"/>
  <c r="F347" i="8"/>
  <c r="G347" i="8" s="1"/>
  <c r="F348" i="8"/>
  <c r="G348" i="8" s="1"/>
  <c r="F349" i="8"/>
  <c r="G349" i="8" s="1"/>
  <c r="F350" i="8"/>
  <c r="G350" i="8" s="1"/>
  <c r="F351" i="8"/>
  <c r="G351" i="8" s="1"/>
  <c r="F352" i="8"/>
  <c r="G352" i="8" s="1"/>
  <c r="F353" i="8"/>
  <c r="G353" i="8" s="1"/>
  <c r="F354" i="8"/>
  <c r="G354" i="8" s="1"/>
  <c r="F355" i="8"/>
  <c r="G355" i="8" s="1"/>
  <c r="F356" i="8"/>
  <c r="G356" i="8" s="1"/>
  <c r="F357" i="8"/>
  <c r="G357" i="8" s="1"/>
  <c r="F346" i="8"/>
  <c r="F345" i="8"/>
  <c r="G345" i="8" s="1"/>
  <c r="E342" i="8"/>
  <c r="D342" i="8"/>
  <c r="F343" i="8"/>
  <c r="F342" i="8" s="1"/>
  <c r="D338" i="8"/>
  <c r="E338" i="8"/>
  <c r="F339" i="8"/>
  <c r="G339" i="8" s="1"/>
  <c r="G338" i="8" s="1"/>
  <c r="T8" i="7"/>
  <c r="T17" i="3"/>
  <c r="T18" i="3"/>
  <c r="T10" i="3"/>
  <c r="T9" i="3"/>
  <c r="F328" i="8"/>
  <c r="G328" i="8" s="1"/>
  <c r="F327" i="8"/>
  <c r="G327" i="8" s="1"/>
  <c r="T19" i="4"/>
  <c r="T18" i="4"/>
  <c r="T17" i="4"/>
  <c r="T16" i="4"/>
  <c r="T9" i="4"/>
  <c r="T10" i="4"/>
  <c r="T17" i="1"/>
  <c r="T16" i="1"/>
  <c r="T15" i="1"/>
  <c r="T14" i="1"/>
  <c r="T13" i="1"/>
  <c r="T12" i="1"/>
  <c r="T9" i="1"/>
  <c r="G372" i="8" l="1"/>
  <c r="G101" i="8"/>
  <c r="G98" i="8"/>
  <c r="F127" i="8"/>
  <c r="F130" i="8"/>
  <c r="F101" i="8"/>
  <c r="F98" i="8"/>
  <c r="T19" i="3"/>
  <c r="T18" i="7"/>
  <c r="F372" i="8"/>
  <c r="G366" i="8"/>
  <c r="F366" i="8"/>
  <c r="F344" i="8"/>
  <c r="G346" i="8"/>
  <c r="G344" i="8" s="1"/>
  <c r="F338" i="8"/>
  <c r="G343" i="8"/>
  <c r="G342" i="8" s="1"/>
  <c r="T85" i="2"/>
  <c r="T76" i="2"/>
  <c r="T75" i="2"/>
  <c r="F230" i="8"/>
  <c r="G230" i="8" s="1"/>
  <c r="T74" i="2"/>
  <c r="T73" i="2"/>
  <c r="T72" i="2"/>
  <c r="T71" i="2"/>
  <c r="T70" i="2"/>
  <c r="T69" i="2"/>
  <c r="T67" i="2"/>
  <c r="T66" i="2"/>
  <c r="T65" i="2"/>
  <c r="T64" i="2"/>
  <c r="T62" i="2"/>
  <c r="T60" i="2"/>
  <c r="T59" i="2"/>
  <c r="T58" i="2"/>
  <c r="T57" i="2"/>
  <c r="T55" i="2"/>
  <c r="T54" i="2"/>
  <c r="T53" i="2"/>
  <c r="T52" i="2"/>
  <c r="T51" i="2"/>
  <c r="T50" i="2"/>
  <c r="T47" i="2"/>
  <c r="T45" i="2"/>
  <c r="T44" i="2"/>
  <c r="T43" i="2"/>
  <c r="T42" i="2"/>
  <c r="T41" i="2"/>
  <c r="G114" i="8"/>
  <c r="T40" i="2"/>
  <c r="T36" i="2"/>
  <c r="T35" i="2"/>
  <c r="T26" i="2"/>
  <c r="T22" i="2"/>
  <c r="F321" i="8" l="1"/>
  <c r="G321" i="8" s="1"/>
  <c r="F320" i="8"/>
  <c r="G320" i="8" s="1"/>
  <c r="F317" i="8"/>
  <c r="F316" i="8"/>
  <c r="G316" i="8" s="1"/>
  <c r="D313" i="8"/>
  <c r="F313" i="8" s="1"/>
  <c r="G313" i="8" s="1"/>
  <c r="D311" i="8"/>
  <c r="F311" i="8" s="1"/>
  <c r="G311" i="8" s="1"/>
  <c r="D305" i="8"/>
  <c r="F305" i="8" s="1"/>
  <c r="G305" i="8" s="1"/>
  <c r="F312" i="8"/>
  <c r="G312" i="8" s="1"/>
  <c r="F310" i="8"/>
  <c r="G310" i="8" s="1"/>
  <c r="F309" i="8"/>
  <c r="G309" i="8" s="1"/>
  <c r="F308" i="8"/>
  <c r="G308" i="8" s="1"/>
  <c r="F307" i="8"/>
  <c r="G307" i="8" s="1"/>
  <c r="F306" i="8"/>
  <c r="G306" i="8" s="1"/>
  <c r="G319" i="8" l="1"/>
  <c r="G317" i="8"/>
  <c r="G315" i="8" s="1"/>
  <c r="F302" i="8" l="1"/>
  <c r="G302" i="8" s="1"/>
  <c r="F301" i="8"/>
  <c r="G301" i="8" s="1"/>
  <c r="D298" i="8" l="1"/>
  <c r="F298" i="8" s="1"/>
  <c r="G298" i="8" s="1"/>
  <c r="D297" i="8"/>
  <c r="F297" i="8" s="1"/>
  <c r="G297" i="8" s="1"/>
  <c r="D296" i="8"/>
  <c r="F296" i="8" s="1"/>
  <c r="G296" i="8" s="1"/>
  <c r="D295" i="8"/>
  <c r="F295" i="8" s="1"/>
  <c r="G295" i="8" s="1"/>
  <c r="D294" i="8"/>
  <c r="F294" i="8" s="1"/>
  <c r="G294" i="8" s="1"/>
  <c r="D293" i="8"/>
  <c r="F293" i="8" s="1"/>
  <c r="G293" i="8" s="1"/>
  <c r="G274" i="8"/>
  <c r="G275" i="8"/>
  <c r="F268" i="8"/>
  <c r="G268" i="8" s="1"/>
  <c r="G269" i="8"/>
  <c r="G270" i="8"/>
  <c r="D258" i="8"/>
  <c r="F258" i="8" s="1"/>
  <c r="G258" i="8" s="1"/>
  <c r="D257" i="8"/>
  <c r="F257" i="8" s="1"/>
  <c r="G257" i="8" s="1"/>
  <c r="D256" i="8"/>
  <c r="F256" i="8" s="1"/>
  <c r="G256" i="8" s="1"/>
  <c r="D255" i="8"/>
  <c r="F255" i="8" s="1"/>
  <c r="G255" i="8" s="1"/>
  <c r="D254" i="8"/>
  <c r="F254" i="8" s="1"/>
  <c r="G254" i="8" s="1"/>
  <c r="D253" i="8"/>
  <c r="F253" i="8" s="1"/>
  <c r="G253" i="8" s="1"/>
  <c r="D252" i="8"/>
  <c r="F252" i="8" s="1"/>
  <c r="G252" i="8" s="1"/>
  <c r="D251" i="8"/>
  <c r="F251" i="8" s="1"/>
  <c r="G251" i="8" s="1"/>
  <c r="D250" i="8"/>
  <c r="F250" i="8" s="1"/>
  <c r="G250" i="8" s="1"/>
  <c r="D249" i="8"/>
  <c r="F249" i="8" s="1"/>
  <c r="G249" i="8" s="1"/>
  <c r="D248" i="8"/>
  <c r="F248" i="8" s="1"/>
  <c r="G248" i="8" s="1"/>
  <c r="D247" i="8"/>
  <c r="F247" i="8" s="1"/>
  <c r="G247" i="8" s="1"/>
  <c r="D246" i="8"/>
  <c r="F246" i="8" s="1"/>
  <c r="G246" i="8" s="1"/>
  <c r="D245" i="8"/>
  <c r="F245" i="8" s="1"/>
  <c r="G245" i="8" s="1"/>
  <c r="D244" i="8"/>
  <c r="F244" i="8" s="1"/>
  <c r="G244" i="8" s="1"/>
  <c r="D243" i="8"/>
  <c r="F243" i="8" s="1"/>
  <c r="G243" i="8" s="1"/>
  <c r="D242" i="8"/>
  <c r="F242" i="8" s="1"/>
  <c r="G242" i="8" s="1"/>
  <c r="D241" i="8"/>
  <c r="F241" i="8" s="1"/>
  <c r="G241" i="8" s="1"/>
  <c r="D240" i="8"/>
  <c r="F240" i="8" s="1"/>
  <c r="G240" i="8" s="1"/>
  <c r="D239" i="8"/>
  <c r="F239" i="8" s="1"/>
  <c r="G239" i="8" s="1"/>
  <c r="D238" i="8"/>
  <c r="F238" i="8" s="1"/>
  <c r="G238" i="8" s="1"/>
  <c r="D202" i="8" l="1"/>
  <c r="F202" i="8" s="1"/>
  <c r="G202" i="8" s="1"/>
  <c r="D201" i="8"/>
  <c r="F201" i="8" s="1"/>
  <c r="G201" i="8" s="1"/>
  <c r="D200" i="8"/>
  <c r="F200" i="8" s="1"/>
  <c r="G200" i="8" s="1"/>
  <c r="D199" i="8"/>
  <c r="F199" i="8" s="1"/>
  <c r="G199" i="8" s="1"/>
  <c r="D198" i="8"/>
  <c r="F198" i="8" s="1"/>
  <c r="G198" i="8" s="1"/>
  <c r="D162" i="8"/>
  <c r="F156" i="8"/>
  <c r="G156" i="8" s="1"/>
  <c r="D155" i="8"/>
  <c r="F155" i="8" s="1"/>
  <c r="G155" i="8" s="1"/>
  <c r="F154" i="8"/>
  <c r="G154" i="8" s="1"/>
  <c r="D153" i="8"/>
  <c r="F153" i="8" s="1"/>
  <c r="G153" i="8" s="1"/>
  <c r="D152" i="8"/>
  <c r="F152" i="8" s="1"/>
  <c r="G152" i="8" s="1"/>
  <c r="D151" i="8"/>
  <c r="F151" i="8" s="1"/>
  <c r="G151" i="8" s="1"/>
  <c r="D150" i="8"/>
  <c r="D147" i="8"/>
  <c r="D148" i="8"/>
  <c r="D135" i="8"/>
  <c r="F135" i="8" s="1"/>
  <c r="F134" i="8" s="1"/>
  <c r="D122" i="8"/>
  <c r="D120" i="8"/>
  <c r="D119" i="8"/>
  <c r="D118" i="8"/>
  <c r="D117" i="8"/>
  <c r="D116" i="8"/>
  <c r="F116" i="8" s="1"/>
  <c r="G121" i="8"/>
  <c r="F68" i="8"/>
  <c r="D27" i="8"/>
  <c r="D26" i="8"/>
  <c r="D25" i="8"/>
  <c r="D24" i="8"/>
  <c r="D23" i="8"/>
  <c r="D22" i="8"/>
  <c r="G18" i="8"/>
  <c r="G19" i="8"/>
  <c r="G20" i="8"/>
  <c r="G21" i="8"/>
  <c r="G28" i="8"/>
  <c r="D56" i="8"/>
  <c r="F56" i="8" s="1"/>
  <c r="G56" i="8" s="1"/>
  <c r="D58" i="8"/>
  <c r="F58" i="8" s="1"/>
  <c r="G58" i="8" s="1"/>
  <c r="D57" i="8"/>
  <c r="F57" i="8" s="1"/>
  <c r="G57" i="8" s="1"/>
  <c r="D55" i="8"/>
  <c r="F55" i="8" s="1"/>
  <c r="G55" i="8" s="1"/>
  <c r="D54" i="8"/>
  <c r="F54" i="8" s="1"/>
  <c r="G54" i="8" s="1"/>
  <c r="D53" i="8"/>
  <c r="F53" i="8" s="1"/>
  <c r="G53" i="8" s="1"/>
  <c r="D52" i="8"/>
  <c r="F52" i="8" s="1"/>
  <c r="G52" i="8" s="1"/>
  <c r="D51" i="8"/>
  <c r="F51" i="8" s="1"/>
  <c r="G51" i="8" s="1"/>
  <c r="D50" i="8"/>
  <c r="F50" i="8" s="1"/>
  <c r="G50" i="8" s="1"/>
  <c r="D49" i="8"/>
  <c r="F49" i="8" s="1"/>
  <c r="G49" i="8" s="1"/>
  <c r="D48" i="8"/>
  <c r="F48" i="8" s="1"/>
  <c r="G48" i="8" s="1"/>
  <c r="F47" i="8"/>
  <c r="G47" i="8" s="1"/>
  <c r="D46" i="8"/>
  <c r="F46" i="8" s="1"/>
  <c r="G46" i="8" s="1"/>
  <c r="D44" i="8"/>
  <c r="F44" i="8" s="1"/>
  <c r="G44" i="8" s="1"/>
  <c r="D43" i="8"/>
  <c r="F43" i="8" s="1"/>
  <c r="G43" i="8" s="1"/>
  <c r="D42" i="8"/>
  <c r="F42" i="8" s="1"/>
  <c r="G42" i="8" s="1"/>
  <c r="D41" i="8"/>
  <c r="F41" i="8" s="1"/>
  <c r="G41" i="8" s="1"/>
  <c r="D40" i="8"/>
  <c r="F40" i="8" s="1"/>
  <c r="G40" i="8" s="1"/>
  <c r="D39" i="8"/>
  <c r="F39" i="8" s="1"/>
  <c r="G39" i="8" s="1"/>
  <c r="D38" i="8"/>
  <c r="F38" i="8" s="1"/>
  <c r="G38" i="8" s="1"/>
  <c r="D37" i="8"/>
  <c r="F37" i="8" s="1"/>
  <c r="G37" i="8" s="1"/>
  <c r="D36" i="8"/>
  <c r="F36" i="8" s="1"/>
  <c r="G36" i="8" s="1"/>
  <c r="D35" i="8"/>
  <c r="F35" i="8" s="1"/>
  <c r="G35" i="8" s="1"/>
  <c r="D34" i="8"/>
  <c r="F34" i="8" s="1"/>
  <c r="G34" i="8" s="1"/>
  <c r="D33" i="8"/>
  <c r="F33" i="8" s="1"/>
  <c r="G33" i="8" s="1"/>
  <c r="D32" i="8"/>
  <c r="F32" i="8" s="1"/>
  <c r="G32" i="8" s="1"/>
  <c r="D31" i="8"/>
  <c r="F31" i="8" s="1"/>
  <c r="G31" i="8" s="1"/>
  <c r="F45" i="8"/>
  <c r="G45" i="8" s="1"/>
  <c r="F117" i="8" l="1"/>
  <c r="G117" i="8" s="1"/>
  <c r="F118" i="8"/>
  <c r="G118" i="8" s="1"/>
  <c r="F119" i="8"/>
  <c r="G119" i="8" s="1"/>
  <c r="F120" i="8"/>
  <c r="F122" i="8"/>
  <c r="G122" i="8" s="1"/>
  <c r="F22" i="8"/>
  <c r="G22" i="8" s="1"/>
  <c r="F23" i="8"/>
  <c r="G23" i="8" s="1"/>
  <c r="F26" i="8"/>
  <c r="G26" i="8" s="1"/>
  <c r="F24" i="8"/>
  <c r="G24" i="8" s="1"/>
  <c r="F25" i="8"/>
  <c r="G25" i="8" s="1"/>
  <c r="F27" i="8"/>
  <c r="G27" i="8" s="1"/>
  <c r="F337" i="8"/>
  <c r="G337" i="8" s="1"/>
  <c r="E336" i="8"/>
  <c r="D336" i="8"/>
  <c r="F331" i="8"/>
  <c r="G331" i="8" s="1"/>
  <c r="E330" i="8"/>
  <c r="D330" i="8"/>
  <c r="F326" i="8"/>
  <c r="G326" i="8" s="1"/>
  <c r="G325" i="8" s="1"/>
  <c r="E325" i="8"/>
  <c r="D325" i="8"/>
  <c r="F304" i="8"/>
  <c r="G304" i="8" s="1"/>
  <c r="G303" i="8" s="1"/>
  <c r="E303" i="8"/>
  <c r="D303" i="8"/>
  <c r="F300" i="8"/>
  <c r="G300" i="8" s="1"/>
  <c r="G299" i="8" s="1"/>
  <c r="E299" i="8"/>
  <c r="D299" i="8"/>
  <c r="F292" i="8"/>
  <c r="G292" i="8" s="1"/>
  <c r="G291" i="8" s="1"/>
  <c r="E291" i="8"/>
  <c r="D291" i="8"/>
  <c r="F286" i="8"/>
  <c r="G286" i="8" s="1"/>
  <c r="F285" i="8"/>
  <c r="G285" i="8" s="1"/>
  <c r="E284" i="8"/>
  <c r="D284" i="8"/>
  <c r="G283" i="8"/>
  <c r="G282" i="8"/>
  <c r="F281" i="8"/>
  <c r="G281" i="8" s="1"/>
  <c r="E280" i="8"/>
  <c r="D280" i="8"/>
  <c r="G279" i="8"/>
  <c r="G278" i="8"/>
  <c r="F277" i="8"/>
  <c r="G277" i="8" s="1"/>
  <c r="E276" i="8"/>
  <c r="D276" i="8"/>
  <c r="F273" i="8"/>
  <c r="G273" i="8" s="1"/>
  <c r="F272" i="8"/>
  <c r="G272" i="8" s="1"/>
  <c r="E271" i="8"/>
  <c r="D271" i="8"/>
  <c r="F267" i="8"/>
  <c r="E266" i="8"/>
  <c r="D266" i="8"/>
  <c r="F265" i="8"/>
  <c r="G265" i="8" s="1"/>
  <c r="F264" i="8"/>
  <c r="G264" i="8" s="1"/>
  <c r="E263" i="8"/>
  <c r="D263" i="8"/>
  <c r="F237" i="8"/>
  <c r="G237" i="8" s="1"/>
  <c r="G236" i="8" s="1"/>
  <c r="E236" i="8"/>
  <c r="D236" i="8"/>
  <c r="F232" i="8"/>
  <c r="G232" i="8" s="1"/>
  <c r="G231" i="8" s="1"/>
  <c r="E231" i="8"/>
  <c r="D231" i="8"/>
  <c r="F229" i="8"/>
  <c r="G229" i="8" s="1"/>
  <c r="G228" i="8" s="1"/>
  <c r="E228" i="8"/>
  <c r="D228" i="8"/>
  <c r="F227" i="8"/>
  <c r="G227" i="8" s="1"/>
  <c r="G226" i="8" s="1"/>
  <c r="E226" i="8"/>
  <c r="D226" i="8"/>
  <c r="F225" i="8"/>
  <c r="G225" i="8" s="1"/>
  <c r="F224" i="8"/>
  <c r="G224" i="8" s="1"/>
  <c r="E223" i="8"/>
  <c r="D223" i="8"/>
  <c r="F222" i="8"/>
  <c r="G222" i="8" s="1"/>
  <c r="F221" i="8"/>
  <c r="G221" i="8" s="1"/>
  <c r="E220" i="8"/>
  <c r="D220" i="8"/>
  <c r="F219" i="8"/>
  <c r="G219" i="8" s="1"/>
  <c r="G218" i="8" s="1"/>
  <c r="E218" i="8"/>
  <c r="D218" i="8"/>
  <c r="F217" i="8"/>
  <c r="G217" i="8" s="1"/>
  <c r="F216" i="8"/>
  <c r="G216" i="8" s="1"/>
  <c r="E215" i="8"/>
  <c r="D215" i="8"/>
  <c r="F212" i="8"/>
  <c r="G206" i="8"/>
  <c r="F205" i="8"/>
  <c r="G205" i="8" s="1"/>
  <c r="F204" i="8"/>
  <c r="G204" i="8" s="1"/>
  <c r="E203" i="8"/>
  <c r="D203" i="8"/>
  <c r="F197" i="8"/>
  <c r="F195" i="8"/>
  <c r="G195" i="8" s="1"/>
  <c r="E194" i="8"/>
  <c r="D194" i="8"/>
  <c r="F193" i="8"/>
  <c r="G193" i="8" s="1"/>
  <c r="F192" i="8"/>
  <c r="G192" i="8" s="1"/>
  <c r="E191" i="8"/>
  <c r="D191" i="8"/>
  <c r="F190" i="8"/>
  <c r="G190" i="8" s="1"/>
  <c r="G189" i="8" s="1"/>
  <c r="E189" i="8"/>
  <c r="D189" i="8"/>
  <c r="F185" i="8"/>
  <c r="G185" i="8" s="1"/>
  <c r="F184" i="8"/>
  <c r="G184" i="8" s="1"/>
  <c r="E183" i="8"/>
  <c r="D183" i="8"/>
  <c r="F179" i="8"/>
  <c r="G179" i="8" s="1"/>
  <c r="G178" i="8" s="1"/>
  <c r="E178" i="8"/>
  <c r="D178" i="8"/>
  <c r="F177" i="8"/>
  <c r="G177" i="8" s="1"/>
  <c r="G176" i="8" s="1"/>
  <c r="E176" i="8"/>
  <c r="D176" i="8"/>
  <c r="F175" i="8"/>
  <c r="G175" i="8" s="1"/>
  <c r="G174" i="8" s="1"/>
  <c r="E174" i="8"/>
  <c r="D174" i="8"/>
  <c r="F173" i="8"/>
  <c r="G173" i="8" s="1"/>
  <c r="F172" i="8"/>
  <c r="G172" i="8" s="1"/>
  <c r="E171" i="8"/>
  <c r="D171" i="8"/>
  <c r="F166" i="8"/>
  <c r="F162" i="8"/>
  <c r="F160" i="8"/>
  <c r="G160" i="8" s="1"/>
  <c r="G159" i="8" s="1"/>
  <c r="E159" i="8"/>
  <c r="D159" i="8"/>
  <c r="F158" i="8"/>
  <c r="G158" i="8" s="1"/>
  <c r="G157" i="8" s="1"/>
  <c r="E157" i="8"/>
  <c r="D157" i="8"/>
  <c r="F150" i="8"/>
  <c r="G150" i="8" s="1"/>
  <c r="G149" i="8" s="1"/>
  <c r="E149" i="8"/>
  <c r="D149" i="8"/>
  <c r="F148" i="8"/>
  <c r="G148" i="8" s="1"/>
  <c r="F147" i="8"/>
  <c r="G147" i="8" s="1"/>
  <c r="E146" i="8"/>
  <c r="D146" i="8"/>
  <c r="G135" i="8"/>
  <c r="G134" i="8" s="1"/>
  <c r="G133" i="8"/>
  <c r="G132" i="8"/>
  <c r="G131" i="8"/>
  <c r="E130" i="8"/>
  <c r="D130" i="8"/>
  <c r="G129" i="8"/>
  <c r="G128" i="8"/>
  <c r="E127" i="8"/>
  <c r="D127" i="8"/>
  <c r="G126" i="8"/>
  <c r="G125" i="8" s="1"/>
  <c r="E125" i="8"/>
  <c r="D125" i="8"/>
  <c r="G124" i="8"/>
  <c r="G123" i="8" s="1"/>
  <c r="E123" i="8"/>
  <c r="D123" i="8"/>
  <c r="G116" i="8"/>
  <c r="E115" i="8"/>
  <c r="D115" i="8"/>
  <c r="G113" i="8"/>
  <c r="G112" i="8" s="1"/>
  <c r="E112" i="8"/>
  <c r="F111" i="8"/>
  <c r="G111" i="8" s="1"/>
  <c r="G110" i="8" s="1"/>
  <c r="E110" i="8"/>
  <c r="D110" i="8"/>
  <c r="F107" i="8"/>
  <c r="G107" i="8" s="1"/>
  <c r="F106" i="8"/>
  <c r="F97" i="8"/>
  <c r="G97" i="8" s="1"/>
  <c r="F96" i="8"/>
  <c r="G96" i="8" s="1"/>
  <c r="E95" i="8"/>
  <c r="D95" i="8"/>
  <c r="F94" i="8"/>
  <c r="G94" i="8" s="1"/>
  <c r="F93" i="8"/>
  <c r="G93" i="8" s="1"/>
  <c r="E92" i="8"/>
  <c r="D92" i="8"/>
  <c r="F91" i="8"/>
  <c r="G91" i="8" s="1"/>
  <c r="F90" i="8"/>
  <c r="G90" i="8" s="1"/>
  <c r="E89" i="8"/>
  <c r="D89" i="8"/>
  <c r="F85" i="8"/>
  <c r="G85" i="8" s="1"/>
  <c r="F84" i="8"/>
  <c r="G84" i="8" s="1"/>
  <c r="E83" i="8"/>
  <c r="D83" i="8"/>
  <c r="F82" i="8"/>
  <c r="G82" i="8" s="1"/>
  <c r="G81" i="8" s="1"/>
  <c r="E81" i="8"/>
  <c r="D81" i="8"/>
  <c r="F78" i="8"/>
  <c r="G78" i="8" s="1"/>
  <c r="G77" i="8" s="1"/>
  <c r="E77" i="8"/>
  <c r="D77" i="8"/>
  <c r="F76" i="8"/>
  <c r="G76" i="8" s="1"/>
  <c r="F75" i="8"/>
  <c r="G75" i="8" s="1"/>
  <c r="E74" i="8"/>
  <c r="D74" i="8"/>
  <c r="F73" i="8"/>
  <c r="G73" i="8" s="1"/>
  <c r="F72" i="8"/>
  <c r="G72" i="8" s="1"/>
  <c r="E71" i="8"/>
  <c r="D71" i="8"/>
  <c r="F70" i="8"/>
  <c r="G70" i="8" s="1"/>
  <c r="G69" i="8" s="1"/>
  <c r="E69" i="8"/>
  <c r="D69" i="8"/>
  <c r="G68" i="8"/>
  <c r="F67" i="8"/>
  <c r="G67" i="8" s="1"/>
  <c r="F66" i="8"/>
  <c r="G66" i="8" s="1"/>
  <c r="E65" i="8"/>
  <c r="D65" i="8"/>
  <c r="F64" i="8"/>
  <c r="G64" i="8" s="1"/>
  <c r="G63" i="8" s="1"/>
  <c r="E63" i="8"/>
  <c r="D63" i="8"/>
  <c r="F62" i="8"/>
  <c r="E61" i="8"/>
  <c r="D61" i="8"/>
  <c r="F30" i="8"/>
  <c r="G30" i="8" s="1"/>
  <c r="G29" i="8" s="1"/>
  <c r="D29" i="8"/>
  <c r="G17" i="8"/>
  <c r="E16" i="8"/>
  <c r="D16" i="8"/>
  <c r="F11" i="8"/>
  <c r="G11" i="8" s="1"/>
  <c r="F10" i="8"/>
  <c r="G10" i="8" s="1"/>
  <c r="E9" i="8"/>
  <c r="D9" i="8"/>
  <c r="G83" i="8" l="1"/>
  <c r="G92" i="8"/>
  <c r="G127" i="8"/>
  <c r="G215" i="8"/>
  <c r="G89" i="8"/>
  <c r="G95" i="8"/>
  <c r="G223" i="8"/>
  <c r="G130" i="8"/>
  <c r="G191" i="8"/>
  <c r="G65" i="8"/>
  <c r="G71" i="8"/>
  <c r="G146" i="8"/>
  <c r="G220" i="8"/>
  <c r="G74" i="8"/>
  <c r="G183" i="8"/>
  <c r="G16" i="8"/>
  <c r="G212" i="8"/>
  <c r="G211" i="8" s="1"/>
  <c r="F211" i="8"/>
  <c r="G171" i="8"/>
  <c r="G197" i="8"/>
  <c r="G166" i="8"/>
  <c r="G165" i="8" s="1"/>
  <c r="F165" i="8"/>
  <c r="G162" i="8"/>
  <c r="G161" i="8" s="1"/>
  <c r="F161" i="8"/>
  <c r="F115" i="8"/>
  <c r="G120" i="8"/>
  <c r="G115" i="8" s="1"/>
  <c r="G106" i="8"/>
  <c r="G105" i="8" s="1"/>
  <c r="F105" i="8"/>
  <c r="G62" i="8"/>
  <c r="G61" i="8" s="1"/>
  <c r="F61" i="8"/>
  <c r="G9" i="8"/>
  <c r="G6" i="8" s="1"/>
  <c r="G267" i="8"/>
  <c r="G266" i="8" s="1"/>
  <c r="F266" i="8"/>
  <c r="D319" i="8"/>
  <c r="D315" i="8" s="1"/>
  <c r="E319" i="8"/>
  <c r="E315" i="8" s="1"/>
  <c r="F65" i="8"/>
  <c r="F236" i="8"/>
  <c r="F89" i="8"/>
  <c r="F325" i="8"/>
  <c r="F77" i="8"/>
  <c r="F142" i="8"/>
  <c r="F174" i="8"/>
  <c r="F276" i="8"/>
  <c r="F71" i="8"/>
  <c r="F81" i="8"/>
  <c r="F95" i="8"/>
  <c r="F110" i="8"/>
  <c r="F146" i="8"/>
  <c r="F149" i="8"/>
  <c r="F194" i="8"/>
  <c r="F284" i="8"/>
  <c r="F330" i="8"/>
  <c r="F29" i="8"/>
  <c r="F63" i="8"/>
  <c r="F69" i="8"/>
  <c r="F74" i="8"/>
  <c r="F83" i="8"/>
  <c r="F92" i="8"/>
  <c r="F157" i="8"/>
  <c r="F159" i="8"/>
  <c r="F223" i="8"/>
  <c r="F263" i="8"/>
  <c r="F271" i="8"/>
  <c r="G276" i="8"/>
  <c r="F280" i="8"/>
  <c r="G284" i="8"/>
  <c r="F291" i="8"/>
  <c r="G330" i="8"/>
  <c r="F215" i="8"/>
  <c r="F16" i="8"/>
  <c r="G263" i="8"/>
  <c r="G271" i="8"/>
  <c r="G280" i="8"/>
  <c r="F178" i="8"/>
  <c r="F189" i="8"/>
  <c r="F203" i="8"/>
  <c r="F196" i="8" s="1"/>
  <c r="F228" i="8"/>
  <c r="F303" i="8"/>
  <c r="F336" i="8"/>
  <c r="F9" i="8"/>
  <c r="F171" i="8"/>
  <c r="F176" i="8"/>
  <c r="F183" i="8"/>
  <c r="F191" i="8"/>
  <c r="G194" i="8"/>
  <c r="G203" i="8"/>
  <c r="F218" i="8"/>
  <c r="F220" i="8"/>
  <c r="F226" i="8"/>
  <c r="F231" i="8"/>
  <c r="F299" i="8"/>
  <c r="G336" i="8"/>
  <c r="G333" i="8" s="1"/>
  <c r="G196" i="8" l="1"/>
  <c r="G13" i="8" s="1"/>
  <c r="G260" i="8"/>
  <c r="F319" i="8"/>
  <c r="F315" i="8" s="1"/>
  <c r="G323" i="8"/>
  <c r="G288" i="8" s="1"/>
  <c r="T10" i="5" l="1"/>
  <c r="T20" i="4" l="1"/>
  <c r="T21" i="4" s="1"/>
</calcChain>
</file>

<file path=xl/sharedStrings.xml><?xml version="1.0" encoding="utf-8"?>
<sst xmlns="http://schemas.openxmlformats.org/spreadsheetml/2006/main" count="1745" uniqueCount="396">
  <si>
    <t>CONSEJO NACIONAL DE AREAS PROTEGIDAS -CONAP-</t>
  </si>
  <si>
    <t xml:space="preserve">2. Programa: </t>
  </si>
  <si>
    <t xml:space="preserve">Conservación del Patrimonio Natural </t>
  </si>
  <si>
    <t xml:space="preserve">2.1. Sub programa: </t>
  </si>
  <si>
    <t xml:space="preserve">Control y Vigilancia </t>
  </si>
  <si>
    <t>No.</t>
  </si>
  <si>
    <t>Actividades</t>
  </si>
  <si>
    <t>Meses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</si>
  <si>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</si>
  <si>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</si>
  <si>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</si>
  <si>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</si>
  <si>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</si>
  <si>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</si>
  <si>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</si>
  <si>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</si>
  <si>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</si>
  <si>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Código</t>
  </si>
  <si>
    <t>Monto</t>
  </si>
  <si>
    <t>TOTAL</t>
  </si>
  <si>
    <t xml:space="preserve">2.2. Sub programa: </t>
  </si>
  <si>
    <t xml:space="preserve">RUMCLA </t>
  </si>
  <si>
    <t xml:space="preserve">CONAP </t>
  </si>
  <si>
    <t xml:space="preserve">Unidades de Conservación </t>
  </si>
  <si>
    <t>2.3. Manejo de RecursosNaturales</t>
  </si>
  <si>
    <t xml:space="preserve">2.3. Sub programa: </t>
  </si>
  <si>
    <t xml:space="preserve">2.4. Sub programa: </t>
  </si>
  <si>
    <t xml:space="preserve">2.4. Incidencia Política </t>
  </si>
  <si>
    <t xml:space="preserve"> Recuperar y consolidar el Sistema Guatemalteco de Área Protegidas , expandirle hacia áreas prioritaria y mejorar la efectividad de su gestion </t>
  </si>
  <si>
    <t xml:space="preserve">Operativos de control y vigilancia </t>
  </si>
  <si>
    <t xml:space="preserve">Patrullajes de control y vigilancia </t>
  </si>
  <si>
    <t xml:space="preserve">Informe </t>
  </si>
  <si>
    <t xml:space="preserve">Evaluación de efectividad de manejo de las Áreas Protegidas del SIGAP </t>
  </si>
  <si>
    <t>Fomento de declaratoria de nuevas Áreas Protegidas</t>
  </si>
  <si>
    <t>Asistencia técnica-legal a municipalidades, propietarios privados, ONGs y OGs para fortalecer el SIGAP</t>
  </si>
  <si>
    <t>X</t>
  </si>
  <si>
    <t xml:space="preserve">Informe individual de monitoreo de área protegida </t>
  </si>
  <si>
    <t xml:space="preserve">Informe /listado de participantes </t>
  </si>
  <si>
    <t xml:space="preserve">Elaboración de Planes Operativos Anuales de Áreas Protegidas </t>
  </si>
  <si>
    <t>Elaboración de dictámenes técnicos para la aprobación y/o actualización de Instrumentos de Gestión del SIGAP (planes maestros, planes de gestión y manejo de visitantes, estudios técnicos, POAs y otros).</t>
  </si>
  <si>
    <t xml:space="preserve">Elaboración de dictamen  jurídico y  proyecto de resolución para la aprobación y/o actualización de Instrumentos de Gestión del SIGAP (planes maestros, planes de gestión y manejo de visitantes, estudios técnicos, POAs y otros).   </t>
  </si>
  <si>
    <t>Seguimiento al cumplimiento de Instrumentos de Gestión del SIGAP (planes maestros, planes de gestión y manejo de visitantes, estudios técnicos, POAs y otros)  .</t>
  </si>
  <si>
    <t>POA elaborado</t>
  </si>
  <si>
    <t xml:space="preserve">Dictámen </t>
  </si>
  <si>
    <t xml:space="preserve">Providencia de traslado de dictámen y proyecto de resolución </t>
  </si>
  <si>
    <t xml:space="preserve">Informe y ayuda de memoria </t>
  </si>
  <si>
    <t>Coordinar con otras entidades públicas responsables la regularización de posesión y tenencia de la tierra de posesionarios y dueños con derechos legítimos/comprobables en áreas protegidas, contribuyendo a resolver conflictos y asegurando que éstos asuman compromisos de conservación.</t>
  </si>
  <si>
    <t>Análisis técnico de solicitudes de arrendamientos OCRET en Área Protegida</t>
  </si>
  <si>
    <t>Análisis jurídico sobre solicitudes de arrendamientos OCRET en Área Protegida</t>
  </si>
  <si>
    <t xml:space="preserve">Dictámen Juridico </t>
  </si>
  <si>
    <r>
      <rPr>
        <b/>
        <sz val="11"/>
        <rFont val="Arial"/>
        <family val="2"/>
      </rPr>
      <t>OBJETIVO ESTRATEGICO 2.2.2</t>
    </r>
    <r>
      <rPr>
        <sz val="11"/>
        <rFont val="Arial"/>
        <family val="2"/>
      </rPr>
      <t>.Gobernabilidad y Cumplimiento Legal: Fortalecer la gobernabilidad del SIGAP y el cumplimiento del marco legal para las áreas protegidas y la gestión de la diversidad biológica</t>
    </r>
  </si>
  <si>
    <t xml:space="preserve">OBJETIVO ESTRATEGICO 2.3 Sistema de Área Progida: Recuperar y consolidar el Sistema Guatemalteco de Área Protegidas , expandirle hacia áreas prioritaria y mejorar la efectividad de su gestion </t>
  </si>
  <si>
    <t xml:space="preserve"> Fortalecer la gestión y uso sostenible  del bosque y plantacione forestale dentro del SIGAP en coordinación interinstitucional </t>
  </si>
  <si>
    <t>Elaboración y/o Análisis de Planes de Prevención y Control de Incendios Forestales</t>
  </si>
  <si>
    <t>Monitoreo del cumplimiento de los Planes de Prevención y Control de Incendios Forestales</t>
  </si>
  <si>
    <t>Asistencia técnica a reforestaciones voluntarias</t>
  </si>
  <si>
    <t>Verificación del cumplimiento de compromisos de recuperación en Área Protegida</t>
  </si>
  <si>
    <t>Emisión de credenciales de consumo forestal familiar en el SIGAP</t>
  </si>
  <si>
    <t>Asistencia técnica y/o monitoreo a reforestaciones por compromiso de consumo forestal familiar</t>
  </si>
  <si>
    <t>Inspección técnica previa a la aprobación de planes de manejo de flora (maderable y no maderable) y fauna  en Área Protegida.</t>
  </si>
  <si>
    <t>Emisión de dictamen técnico a solicitud de aprobación de planes de manejo de flora (maderable y no maderable) y fauna en Área Protegida.</t>
  </si>
  <si>
    <t xml:space="preserve">Asistencia técnica a viveros forestales </t>
  </si>
  <si>
    <t>Control y liquidación de incendios forestales (Combate)</t>
  </si>
  <si>
    <t xml:space="preserve">Asistencia técnica en actividades de prevención y control de plagas y enfermedades forestales </t>
  </si>
  <si>
    <t>Análisis legal a solicitudes de credenciales de consumo familiar forestal en el SIGAP</t>
  </si>
  <si>
    <t>Inspección para el otorgamiento de credenciales de consumo forestal familiar en el SIGAP</t>
  </si>
  <si>
    <t>Emisión de licencias de aprovechamiento y comercialización de productos de flora silvestre maderable dentro de Área Protegida.</t>
  </si>
  <si>
    <t>Asegurar el uso sostenible de la diversidad biológica y servicios ecosistémicos con énfasis en recursos hídricos por medio de la formulación e impulso a marcos políticos y normativas que garanticen la conservación, el uso sostenible, acceso y la distribución equitativa de beneficios derivados de su uso (Protocolo de Nagoya, 8j y servicios ecositémicos, aprovechamientos de bosques naturales, especies, bienes y servicios naturales-ecosistémicos).</t>
  </si>
  <si>
    <t>Aprobación de planes de manejo de flora (maderable y no maderable) y fauna en Área Protegida</t>
  </si>
  <si>
    <t>Emisión de Guía de Transporte</t>
  </si>
  <si>
    <t>Inspecciones y monitoreos (rutinarias o no) a colecciones de vida silvestre.</t>
  </si>
  <si>
    <t>Repoblación  de tul</t>
  </si>
  <si>
    <t xml:space="preserve">Mantenimiento de TUL </t>
  </si>
  <si>
    <t>Emisión de licencias de vida silvestre (caza, colecta, pesca, investigación y otros)</t>
  </si>
  <si>
    <t>Monitoreos Biológicos (dentro y fuera de Áreas Protegidas)</t>
  </si>
  <si>
    <t xml:space="preserve">Emisión de dictamen jurídico a planes de manejo forestal que incluyen instrumentos de evaluación ambiental  en el SIGAP </t>
  </si>
  <si>
    <t>Opinión jurídica y proyecto de resolución para procedimientos  de registro de vida silvestre  (Investigadores, Coleccionista, Reproductoras y Comercializadoras, cazadores y otros)</t>
  </si>
  <si>
    <t>Registro de colecciones de vida silvestre</t>
  </si>
  <si>
    <t>Donaciones, con y sin resolución de juez competente, de producto de flora y fauna decomisada</t>
  </si>
  <si>
    <t>Reintroducción y/o entrega de especímenes de flora y fauna decomisada</t>
  </si>
  <si>
    <t>Presentación y procuración de denuncias  por hechos ilícitos, faltas e infracciones administrativas contra diversidad biológica y SIGAP</t>
  </si>
  <si>
    <t>Inspecciones a denuncias de actividades ilícitas en Áreas Protegidas</t>
  </si>
  <si>
    <t>Procuración ante el OJ sobre los procesos en materia Ambiental</t>
  </si>
  <si>
    <t>Peritajes técnicos  sobre hechos ilícitos requeridos por el Organismo Judicial o El Ministerio Publico</t>
  </si>
  <si>
    <t>Emisión de opinión legal e institucional ante casos y procesos</t>
  </si>
  <si>
    <t>Compromiso de resarcimiento de daños por aplicación de medidas desjudicializadoras (criterio de oportunidad)</t>
  </si>
  <si>
    <t>Declaraciones testimoniales sobre hechos ilícitos requeridos por el Organismo Judicial o El Ministerio Publico</t>
  </si>
  <si>
    <t>CONAP</t>
  </si>
  <si>
    <t xml:space="preserve">Informe / lista de participantes </t>
  </si>
  <si>
    <t xml:space="preserve">Credencial </t>
  </si>
  <si>
    <t xml:space="preserve">Boleta /Informe </t>
  </si>
  <si>
    <t xml:space="preserve">Dictámen / boleta de inspección </t>
  </si>
  <si>
    <t xml:space="preserve">Licencia </t>
  </si>
  <si>
    <t xml:space="preserve">Guías de transporte </t>
  </si>
  <si>
    <t xml:space="preserve">Informe / metros lineales </t>
  </si>
  <si>
    <t xml:space="preserve">Dictámen / Licencia/ Resolución </t>
  </si>
  <si>
    <t xml:space="preserve">Dictámen / Resolución </t>
  </si>
  <si>
    <t>Mapas de monitoreo en tiempo real de incendios forestales</t>
  </si>
  <si>
    <t xml:space="preserve">Mapas </t>
  </si>
  <si>
    <t>Fortalecer y optimizar en forma coordinada con el MARN el proceso de monitoreo y evaluación ambiental de proyectos en áreas protegidas y en otras áreas donde se impacte la diversidad biológica, incluyendo Evaluaciones de Impacto Ambiental (EIA's), contratos de operación e instrumentos similares.</t>
  </si>
  <si>
    <t>Diseñar e implementar conjuntamente con los administradores  de justicia y la sociedad civil una estrategia para mejorar las capacidades de defensa legal de las áreas protegidas del SIGAP, ante usurpaciones, extracciones ilegales y otras violaciones a la ley y a la norma.</t>
  </si>
  <si>
    <t>OBJETIVO ESTRATEGICO Gobernabilidad y Cumplimiento Legal: Fortalecer la gobernabilidad del SIGAP y el cumplimiento del marco legal para las áreas protegidas y la gestión de la diversidad biológica</t>
  </si>
  <si>
    <t xml:space="preserve">Registro en el Libro Contraloria de Cuentas </t>
  </si>
  <si>
    <t xml:space="preserve">Informe / Acta de Recepción / documento de prevención Policial </t>
  </si>
  <si>
    <t xml:space="preserve">Acta administrativa de entrega / Conocimiento de donación </t>
  </si>
  <si>
    <t xml:space="preserve">Informe / Acta </t>
  </si>
  <si>
    <t xml:space="preserve">Denuncia presentada con sello de recibido de Fiscalia de Delítos contra el Medio Ambiente </t>
  </si>
  <si>
    <t>Informe / Constancia de OJ</t>
  </si>
  <si>
    <t xml:space="preserve">Peritajes / Informe / Oficio / acta de inspección </t>
  </si>
  <si>
    <t xml:space="preserve">Dictámen /  Informes / Circunstanciados / Oficios </t>
  </si>
  <si>
    <t xml:space="preserve">Escritura Pública / Contrato / Acta /Expediente  específico para criterio </t>
  </si>
  <si>
    <t>Declaracion /Oficio / Informe Técnico</t>
  </si>
  <si>
    <t>Fortalecer el sistema integrado actual del registro de datos, estadísticas e información del CONAP, SIGAP y la diversidad biológica, incluyendo los registros mandados por ley y para la toma de decisiones de usuarios internos y externos.</t>
  </si>
  <si>
    <t>OBJETIVO ESTRATEGICO Modernización Institucional: Mejorar el desempeño de la operación política y funcional del CONAP</t>
  </si>
  <si>
    <t>OBJETIVO ESTRATEGICO Cambio Climático, Respaldo Social, Bienes y Servicios Naturales: Integrar en la gestión del patrimonio natural la mitigación y adaptación al cambio climático y la valorización social de las áreas protegidas, la diversidad biológica y los bienes y servicios naturales que proveen</t>
  </si>
  <si>
    <t>Diseñar y gestionar los mecanismos de financiamiento e implementar con socios al menos cinco iniciativas de reforestación y reducción de deforestación y degradación forestal en el SIGAP con el objeto de reducir la vulnerabilidad del país y apoyar su adaptación y mitigación al cambio climático. Fomentar la coordinación interinstitucional con el INAB con el objeto de reducir la deforestación y la degradación forestal en el SIGAP y fomentar la implementación de proyectos de incentivos forestales tales como PINFOR, PINPEP y otros.</t>
  </si>
  <si>
    <t>Dictamen Técnico para aprobación a proyectos de incentivos forestales dentro de Área Protegida</t>
  </si>
  <si>
    <t>Resolución de proyectos de incentivos forestales dentro de Área Protegida.</t>
  </si>
  <si>
    <t xml:space="preserve">Emisión de dictamen de solicitudes de cambio de uso del suelo </t>
  </si>
  <si>
    <t xml:space="preserve">Dictámen Técnico </t>
  </si>
  <si>
    <t xml:space="preserve">Resolución </t>
  </si>
  <si>
    <t>OBJETIVO ESTRATEGICO Participación y Alianzas: Fortalecer, ampliar y coordinar efectivamente la participación social y cultivar una efectiva red de alianzas tácticas y estratégicas</t>
  </si>
  <si>
    <t>Ampliar  fortalecer alianzas estratégicas formales con entidades públicas nacionales y gobiernos locales para establecer esfuerzos de conservación por medio de coordinar y armonizar procesos y compartir infraestructura y equipo.</t>
  </si>
  <si>
    <t>Participación en la atención a desastres causados por eventos naturales extremos (COE y otros).</t>
  </si>
  <si>
    <t>OBJETIVO ESTRATEGICO 2.1. Negociar y formalizar planes nacionales y regionales de mejoramiento de capacidades, coordinación y operación conjunta con dependencias de seguridad y justicia, para asegurar gobernabilidad, cumplimiento legal en áreas protegidas y disminución del tráfico ilegal de diversidad biológica</t>
  </si>
  <si>
    <t xml:space="preserve">3. PROGRAMA: Saneamiento Ambiental </t>
  </si>
  <si>
    <t xml:space="preserve">3.1. Programa: Residuos Liquidos  y Solidos </t>
  </si>
  <si>
    <t>Ubicación Geográfica</t>
  </si>
  <si>
    <t>Responsable</t>
  </si>
  <si>
    <t>Verificado-res</t>
  </si>
  <si>
    <t>Opinión técnica sobre el análisis de instrumentos de evaluación ambiental para planes de manejo forestal dentro del SIGAP</t>
  </si>
  <si>
    <t xml:space="preserve">Análisis  jurídico a proyectos, obras, industrias y actividades dentro del SIGAP, que cuentan con instrumentos de evaluación ambiental (A, B1) </t>
  </si>
  <si>
    <t>Análisis  jurídico a proyectos, obras, industrias y actividades dentro del SIGAP, que cuentan con instrumentos de evaluación ambiental (C, B2).</t>
  </si>
  <si>
    <t xml:space="preserve">Análisis  técnico a proyectos, obras, industrias y actividades dentro del SIGAP, que cuentan con instrumentos de evaluación ambiental (A, B1) </t>
  </si>
  <si>
    <t xml:space="preserve">Análisis  técnico a proyectos, obras, industrias y actividades dentro del SIGAP, que cuentan con instrumentos de evaluación ambiental (C, B2) </t>
  </si>
  <si>
    <t xml:space="preserve">Formalización de contrato a proyectos, obras, industrias y actividades dentro del SIGAP, que cuentan con instrumentos de evaluación ambiental (C, B2)  </t>
  </si>
  <si>
    <t xml:space="preserve"> Fortalecer y optimizar en forma coordinada con el MARN el proceso de monitoreo y evaluación ambiental de proyectos en áreas protegidas y en otras áreas donde se impacte la diversidad biológica, incluyendo Evaluaciones de Impacto Ambiental (EIA's), contratos de operación e instrumentos similares.</t>
  </si>
  <si>
    <t>OBJETIVO ESTRATEGICO:  Gobernabilidad y Cumplimiento Legal: Fortalecer la gobernabilidad del SIGAP y el cumplimiento del marco legal para las áreas protegidas y la gestión de la diversidad biológica</t>
  </si>
  <si>
    <t xml:space="preserve">Informe/ Dictámen /Resolución </t>
  </si>
  <si>
    <t xml:space="preserve">5. PROGRAMA: Conservación del Patrimonio Cultural </t>
  </si>
  <si>
    <t>5.1. Programa: Patrimonio Cultural y Tangible</t>
  </si>
  <si>
    <t xml:space="preserve">OBJETIVO ESTRATEGICO: </t>
  </si>
  <si>
    <t xml:space="preserve">OBJETIVO ESTRATEGICO:  Asegurar la conservación y el uso sostenible de la megadiversidad biológica de Guatemala, así como la distribución justa y equitativa de los beneficios derivados del uso de la misma </t>
  </si>
  <si>
    <t>OBJETIVO ESTRATEGICO: Gobernabilidad y Cumplimiento Legal: Fortalecer la gobernabilidad del SIGAP y el cumplimiento del marco legal para las áreas protegidas y la gestión de la diversidad biológica</t>
  </si>
  <si>
    <t>Gestión de resolución de conflictos en Áreas Protegidas</t>
  </si>
  <si>
    <t>Sistematización del conocimiento tradicional del uso y conservación de la Diversidad Biológica.</t>
  </si>
  <si>
    <t xml:space="preserve">4. PROGRAMA: Educación Ambiental y Cultural </t>
  </si>
  <si>
    <t xml:space="preserve">4.1. Programa: Educación Formal </t>
  </si>
  <si>
    <t xml:space="preserve">4.2. Programa: Educación No Formal </t>
  </si>
  <si>
    <t>OBJETIVO ESTRATEGICO: Modernización Institucional: Mejorar el desempeño de la operación política y funcional del CONAP</t>
  </si>
  <si>
    <t>Mejorar la imagen institucional y posicionar al CONAP como el ente rector en la conservación y el uso sostenible de la diversidad biológica y del SIGAP a través de la educación, sensibilización y divulgación de los bienes y servicios ambientales que brindan y la promoción de la valoración social y ambiental.</t>
  </si>
  <si>
    <t xml:space="preserve">Educación ambiental y capacitación impartida por CONAP sobre Diversidad Biológica, Áreas Protegidas y otros temas.  </t>
  </si>
  <si>
    <t>Sensibilización para la conservación de la Diversidad Biológica por medio presencial (charlas, foros, conferencias, simposium, etc)</t>
  </si>
  <si>
    <t xml:space="preserve">Sensibilización para la conservación de la Diversidad Biológica por medios de comunicación masiva (radio, televisión, prensa y web)   </t>
  </si>
  <si>
    <t>Informe / Listado de participantes</t>
  </si>
  <si>
    <t xml:space="preserve">Informe / Listado de participante </t>
  </si>
  <si>
    <t xml:space="preserve">Informe /Material elaborado /Registro de participación radial y televisivo </t>
  </si>
  <si>
    <t>Coordinación, asistencia técnica y/o acompañamiento en el fortalecimiento del turismo en Áreas Protegidas</t>
  </si>
  <si>
    <t xml:space="preserve"> Informe / Lista de participantes </t>
  </si>
  <si>
    <t>Realizar estudios y proyectos de valoración económica y social de áreas protegidas y/o diversidad biológica, que contribuyan a incidir favorablemente en diferentes niveles de decisión nacional relacionados con el cambio climático y servicios naturales</t>
  </si>
  <si>
    <t>Informe / Acta / Convenios /</t>
  </si>
  <si>
    <t xml:space="preserve">6. PROGRAMA: Administración </t>
  </si>
  <si>
    <t>OBJETIVO ESTRATEGICO:  Modernización Institucional: Mejorar el desempeño de la operación política y funcional del CONAP</t>
  </si>
  <si>
    <t>Diseñar  ejecutar un programa de desarrollo de la carrera administrativa en la institución, que responda al manual de funciones y a una política salarial.</t>
  </si>
  <si>
    <t>Visitas de supervisión laboral institucional</t>
  </si>
  <si>
    <t xml:space="preserve">Informe /Boleta de inspección </t>
  </si>
  <si>
    <t xml:space="preserve"> Fortalecer el sistema integrado actual del registro de datos, estadísticas e información del CONAP, SIGAP y la diversidad biológica, incluyendo los registros mandados por ley y para la toma de decisiones de usuarios internos y externos.</t>
  </si>
  <si>
    <t>Fortalecer el sistema integrado actual del registro de datos, estadísticas e información del CONAP, SIGAP y la diversidad biológica.</t>
  </si>
  <si>
    <t xml:space="preserve">1 PROGRAMA: Desarrollo Económico </t>
  </si>
  <si>
    <t xml:space="preserve">1.3 Programa: Turismo </t>
  </si>
  <si>
    <t>OBJETIVO ESTRATEGICO 1:  Cambio Climático, Respaldo Social, Bienes y Servicios Naturales: Integrar en la gestión del patrimonio natural la mitigación y adaptación al cambio climático y la valorización social de las áreas protegidas, la diversidad biológica y los bienes y servicios naturales que proveen</t>
  </si>
  <si>
    <t xml:space="preserve">OBJETIVO ESTRATEGICO 2.2.Sistema de Área Progida: Recuperar y consolidar el Sistema Guatemalteco de Área Protegidas , expandirle hacia áreas prioritaria y mejorar la efectividad de su gestion </t>
  </si>
  <si>
    <t xml:space="preserve"> 2.2.1Elevar la calificación de efectividad de manejo e integridad ecológica en las áreas prioritarias</t>
  </si>
  <si>
    <t xml:space="preserve"> 2.2.2.Llenar al menos el 15% de los vacíos de conservación del país en las áreas prioritarias ecológicamente subrepresentadas (al menos dos bloques terrestres/dulce acuícolas y un marino), aumentando al menos el 30% de la superficie conservada en tierras comunales, municipales, privadas, otros mecanismos alternos y/o prácticas compatibles con la conservación.</t>
  </si>
  <si>
    <t xml:space="preserve">2.2.3Fortalecer la gestión y uso sostenible  del bosque y plantacione forestale dentro del SIGAP en coordinación interinstitucional </t>
  </si>
  <si>
    <t>2Coordinar con otras entidades públicas responsables la regularización de posesión y tenencia de la tierra de posesionarios y dueños con derechos legítimos/comprobables en áreas protegidas, contribuyendo a resolver conflictos y asegurando que éstos asuman compromisos de conservación.</t>
  </si>
  <si>
    <t xml:space="preserve">Informe / Evento </t>
  </si>
  <si>
    <t>Resultado Esperado 2021</t>
  </si>
  <si>
    <t>Informe/listado de participantes/ayuda de memoria</t>
  </si>
  <si>
    <t xml:space="preserve">Dictámen / Documento elaborado </t>
  </si>
  <si>
    <t>Resultado Esperado 2,021</t>
  </si>
  <si>
    <t xml:space="preserve">Informe /oDictámen </t>
  </si>
  <si>
    <t xml:space="preserve">Informe / Boleta </t>
  </si>
  <si>
    <t>Administración, Resguardo de Decomisos y/o rescate de especímenes de flora y fauna</t>
  </si>
  <si>
    <t>Inspección técnica para evaluación de proyectos forestales vinculados a los programas de incentivos en Área Protegida</t>
  </si>
  <si>
    <t>PLAN OPERATIVO ANUAL 2021</t>
  </si>
  <si>
    <t>x</t>
  </si>
  <si>
    <t>PLAN OPERATIVO ANUAL  2021</t>
  </si>
  <si>
    <t>Capacitación a guarda-recursos, personal de municipalidades y comunidades aledañas, para la supevisión, seguimiento, prevensión de incendios forestales</t>
  </si>
  <si>
    <t xml:space="preserve">Documento elaborado </t>
  </si>
  <si>
    <t>Emisión de dictamen jurídico a planes de manejo forestal que incluyen instrumentos de evaluación ambiental en el SIGAP</t>
  </si>
  <si>
    <t>Formalización de contrato de cumplimiento de planes de manejo forestal (maderable y no maderable) en Área Protegida</t>
  </si>
  <si>
    <t xml:space="preserve">Contrato </t>
  </si>
  <si>
    <t xml:space="preserve">Prevención de incendios forestales </t>
  </si>
  <si>
    <t>RUBROS</t>
  </si>
  <si>
    <t>RENGLON</t>
  </si>
  <si>
    <t>UNIDAD DE MEDIDA</t>
  </si>
  <si>
    <t>COSTO/ UNIDAD/Q.</t>
  </si>
  <si>
    <t>CANTIDAD</t>
  </si>
  <si>
    <t>GRAN TOTAL</t>
  </si>
  <si>
    <t xml:space="preserve">DESARROLLO ECONOMICO </t>
  </si>
  <si>
    <t xml:space="preserve">ACTIVIDADES PROGRAMA </t>
  </si>
  <si>
    <t xml:space="preserve">SUB - TOTAL </t>
  </si>
  <si>
    <t xml:space="preserve">PROGRAMA CONSERVACION DEL PATRIMONIO NATURAL </t>
  </si>
  <si>
    <t>TOTAL PROGRAMA 2</t>
  </si>
  <si>
    <t>ACTIVIDADES</t>
  </si>
  <si>
    <t xml:space="preserve">Sistema de Área Progida: Recuperar y consolidar el Sistema Guatemalteco de Área Protegidas , expandirle hacia áreas prioritaria y mejorar la efectividad de su gestion </t>
  </si>
  <si>
    <t xml:space="preserve">ACTIVIDADES </t>
  </si>
  <si>
    <t xml:space="preserve">Diversidad Biológica: Asegurar la conservación y el uso sostenible de la megadiversidad biológica de Guatemala, así como la distribución justa y equitativa de los beneficios derivados del uso de la misma </t>
  </si>
  <si>
    <t>Cambio Climático, Respaldo Social, Bienes y Servicios Naturales: Integrar en la gestión del patrimonio natural la mitigación y adaptación al cambio climático y la valorización social de las áreas protegidas, la diversidad biológica y los bienes y servicios naturales que proveen</t>
  </si>
  <si>
    <t>Inspección técnica para evaluación de proyectos forestales vinculados a los programas de incentivos PINFOR o PINPEP en Área Protegida</t>
  </si>
  <si>
    <t>Modernización Institucional: Mejorar el desempeño de la operación política y funcional del CONAP</t>
  </si>
  <si>
    <t>Gobernabilidad y Cumplimiento Legal: Fortalecer la gobernabilidad del SIGAP y el cumplimiento del marco legal para las áreas protegidas y la gestión de la diversidad biológica</t>
  </si>
  <si>
    <t xml:space="preserve"> Participación y Alianzas: Fortalecer, ampliar y coordinar efectivamente la participación social y cultivar una efectiva red de alianzas tácticas y estratégicas</t>
  </si>
  <si>
    <t xml:space="preserve">PROGRAMA SANEAMIENTO AMBIENTAL </t>
  </si>
  <si>
    <t xml:space="preserve">TOTAL PROGRAMA </t>
  </si>
  <si>
    <t xml:space="preserve"> Gobernabilidad y Cumplimiento Legal: Fortalecer la gobernabilidad del SIGAP y el cumplimiento del marco legal para las áreas protegidas y la gestión de la diversidad biológica</t>
  </si>
  <si>
    <t xml:space="preserve">PROGRAMA EDUCACION AMBIENTAL Y CULTURAL </t>
  </si>
  <si>
    <t xml:space="preserve">PROGRAMA CONSERVACION DEL PATRIMONIO CULTURAL </t>
  </si>
  <si>
    <t xml:space="preserve"> Asegurar la conservación y el uso sostenible de la megadiversidad biológica de Guatemala, así como la distribución justa y equitativa de los beneficios derivados del uso de la misma </t>
  </si>
  <si>
    <t xml:space="preserve">PROGRAMA ADMINISTRACION </t>
  </si>
  <si>
    <t xml:space="preserve">Unidad </t>
  </si>
  <si>
    <t xml:space="preserve">Cupones de combustible </t>
  </si>
  <si>
    <t xml:space="preserve">Resma de papel bond tamaño carta </t>
  </si>
  <si>
    <t xml:space="preserve">GPS Marca Garmin </t>
  </si>
  <si>
    <t>Mochilas De Conap</t>
  </si>
  <si>
    <t>Papel Bond Tamaño Carta</t>
  </si>
  <si>
    <t>Gafas De Proteccion Contra Incendios Forestales</t>
  </si>
  <si>
    <t>Camisa Contra Incendio</t>
  </si>
  <si>
    <t>Chalecos Tipo Periodista En Tela Gabardina 1600</t>
  </si>
  <si>
    <t>Escritorio De Metal</t>
  </si>
  <si>
    <t>Archivo Robot 2 Gavetas Riel Extensible</t>
  </si>
  <si>
    <t>Archivo Vertical De 4 Gavetas</t>
  </si>
  <si>
    <t>Folder Colgante Oficio</t>
  </si>
  <si>
    <t xml:space="preserve">Baterias Recargables Maxell, Pares De </t>
  </si>
  <si>
    <t xml:space="preserve">Casco De Bombero Hecho De Termoplastico </t>
  </si>
  <si>
    <t xml:space="preserve">Chalecos Reflectivos </t>
  </si>
  <si>
    <t xml:space="preserve">Computadora De Escritorio </t>
  </si>
  <si>
    <t xml:space="preserve">Computadora  Personal </t>
  </si>
  <si>
    <t xml:space="preserve">Papel Bond Oficio, Resmas </t>
  </si>
  <si>
    <t>Cupones De Combustible De Q100.00</t>
  </si>
  <si>
    <t>Binoculares</t>
  </si>
  <si>
    <t xml:space="preserve">Limas Para Afilar Machetes </t>
  </si>
  <si>
    <t>Machete Viscaino De 22" Con Funda Cuero</t>
  </si>
  <si>
    <t>Lazo 3/4" De Nylon Trensado</t>
  </si>
  <si>
    <t>Chumpa Para Motorista Enguatada</t>
  </si>
  <si>
    <t>Linternas Con Apuntador Laser Con Impresion Logo Conap En Negro</t>
  </si>
  <si>
    <t xml:space="preserve">Botas De Hule No. 40, Pares De </t>
  </si>
  <si>
    <t>Motocicleta Nueva Ag200</t>
  </si>
  <si>
    <t xml:space="preserve">Pantalon Para Motorista </t>
  </si>
  <si>
    <t xml:space="preserve"> Linternas Con Apuntador Laser Con Impresion Logo Conap En Negro</t>
  </si>
  <si>
    <t>Cupones De Combustible De Q50.00</t>
  </si>
  <si>
    <t>Bolsa Plastica Gruesa De 25Libras Para Contener Raciones</t>
  </si>
  <si>
    <t>Jugos De Fruta Lata 330 Ml</t>
  </si>
  <si>
    <t xml:space="preserve">Atun En Agua (140) Gramos C/U, Latas Abre Facil </t>
  </si>
  <si>
    <t>Avena Instantánea (Vaso)</t>
  </si>
  <si>
    <t>Frijol Negro Volteado Abre Facil En Lata</t>
  </si>
  <si>
    <t>Sardina En Salsa De Tomate Lata 155 Grs.</t>
  </si>
  <si>
    <t>Sopas Instantaneas Varios Sabores</t>
  </si>
  <si>
    <t>Agua Pura De 600 Ml. Envasada</t>
  </si>
  <si>
    <t>Galleta De Granola</t>
  </si>
  <si>
    <t>Marchamo caja</t>
  </si>
  <si>
    <t xml:space="preserve">Papel Bond Tamaño Oficio </t>
  </si>
  <si>
    <t xml:space="preserve">Papel Bond tamaño carta </t>
  </si>
  <si>
    <t>Cupones de combustible</t>
  </si>
  <si>
    <t>Papel  Bond tamaño oficio</t>
  </si>
  <si>
    <t xml:space="preserve">Papel Bond Tamaño carta </t>
  </si>
  <si>
    <t xml:space="preserve">Papel Bond tamaño oficio </t>
  </si>
  <si>
    <t>Unidad</t>
  </si>
  <si>
    <t xml:space="preserve">Guantes de cuero </t>
  </si>
  <si>
    <t>Manguera Tipo Jardinero De 100 Ft Rollo</t>
  </si>
  <si>
    <t>Rastrillos De Metal Para Jardineria</t>
  </si>
  <si>
    <t>Camisas, Manga Larga Tipo Sport Con Logo Conap</t>
  </si>
  <si>
    <t>Gorras Con Logo De Conap</t>
  </si>
  <si>
    <t xml:space="preserve">Cintas Metricas De 10 Mts De Longitud, </t>
  </si>
  <si>
    <t xml:space="preserve">Papel Bond tamaño Carta </t>
  </si>
  <si>
    <t>Formulario De Licencia De Colecta Y Aprovechamiento De Vida Silvestre</t>
  </si>
  <si>
    <t>Guias De Transporte  Forestal</t>
  </si>
  <si>
    <t>Guias De Transporte De Vida Silvestre</t>
  </si>
  <si>
    <t>Anillos para Aves Pequeños (Dmbvs Central)</t>
  </si>
  <si>
    <t>Anillo para Aves Medianos (Dmbvs Central)</t>
  </si>
  <si>
    <t>Anillo para Aves Grandes (Dmbvs Central)</t>
  </si>
  <si>
    <t>Cupones De Combustible De  Q100.00</t>
  </si>
  <si>
    <t>Bolsas Platicas Gruesas De (25) Libras</t>
  </si>
  <si>
    <t xml:space="preserve">Programa Q.GIS </t>
  </si>
  <si>
    <t xml:space="preserve">Papel Bond tamaño Oficio </t>
  </si>
  <si>
    <t xml:space="preserve">Papel Bond tamaño oficio 180 gramos </t>
  </si>
  <si>
    <t xml:space="preserve">Congelador De 11 Pies Horizontal, </t>
  </si>
  <si>
    <t>Bandeja de Metal</t>
  </si>
  <si>
    <t>Formol</t>
  </si>
  <si>
    <t>Guantes De Cuero</t>
  </si>
  <si>
    <t>Guantes De Hule</t>
  </si>
  <si>
    <t>Administración , Decomisos  y/o rescate de especímenes de flora y fauna</t>
  </si>
  <si>
    <t>Jaulas Kennel Grande (Dmbvs Central)</t>
  </si>
  <si>
    <t xml:space="preserve">Café Molido , Libras </t>
  </si>
  <si>
    <t>Aceite Capullo</t>
  </si>
  <si>
    <t>Agua Pura Botella 1 Litro</t>
  </si>
  <si>
    <t>Atol En Polvo (Bolsa)</t>
  </si>
  <si>
    <t>Avena bolsa Molida</t>
  </si>
  <si>
    <t>Azucar bolsa de 5 Libra</t>
  </si>
  <si>
    <t xml:space="preserve">Barra De Cereal 6 Unidades, Paquete De </t>
  </si>
  <si>
    <t>Consomé De Pollo (Cartón)</t>
  </si>
  <si>
    <t>Espagueti De Harina De Trigo</t>
  </si>
  <si>
    <t xml:space="preserve">Frijol Lata 5.5 Onzas </t>
  </si>
  <si>
    <t>Galleta De Granola Marca Conalib</t>
  </si>
  <si>
    <t>Harina Para Preparar Atol, bolsa</t>
  </si>
  <si>
    <t xml:space="preserve">Raciones Frias </t>
  </si>
  <si>
    <t>Huevos De Gallina Carton De 30 Unidades Tamaño Grande</t>
  </si>
  <si>
    <t>Jugo Kerns Junior, cajilla</t>
  </si>
  <si>
    <t>Salsita Lista De Tomate Bolsa Abre Facil De 397 Grs.</t>
  </si>
  <si>
    <t>Sopa De Pollo (Cartón)</t>
  </si>
  <si>
    <t xml:space="preserve">Cupones de cosmbustible </t>
  </si>
  <si>
    <t>Roll-Up Tamaño 0.80 X 2 Mts C/Manta Vinilica A Full Color</t>
  </si>
  <si>
    <t xml:space="preserve"> Rompecabezas Tamaño 9" X 12 1/4 Impresos A Full Color Tiro En Texcote Calibre 18</t>
  </si>
  <si>
    <t>Rotafolio</t>
  </si>
  <si>
    <t>Banner Roll Up 80 Cms, X 200 Cms, Full Color, Tiro De Vinil</t>
  </si>
  <si>
    <t>Bifoliares Reforestando para la Vida  Full Color</t>
  </si>
  <si>
    <t>Hojas Lino Tamaño Carta 220 Gramos</t>
  </si>
  <si>
    <t>Rotulos Con Vinil Adhesivo</t>
  </si>
  <si>
    <t xml:space="preserve">Bocinas, Juego De </t>
  </si>
  <si>
    <t>Cámara Grabación de Video/Audio en Alta Definición</t>
  </si>
  <si>
    <t>Micrófono Inalámbrico Marca Pyle Color Negro</t>
  </si>
  <si>
    <t>Pizarron De Formica</t>
  </si>
  <si>
    <t>Televisores Led 55 Marca Lg, Modelo 55Lh6000</t>
  </si>
  <si>
    <t>Trifoliares Lago De Atitlan Tesoro Nacional.</t>
  </si>
  <si>
    <t xml:space="preserve">Tripode </t>
  </si>
  <si>
    <t>Dvd-R En Blanco</t>
  </si>
  <si>
    <t xml:space="preserve">Cupones de combusbitle </t>
  </si>
  <si>
    <t xml:space="preserve">Uniddad </t>
  </si>
  <si>
    <t>Prevención de incendios forestales (charlas)</t>
  </si>
  <si>
    <t>Guarda Recursos Sololá</t>
  </si>
  <si>
    <t>Guarda Recursos Santiago Atitlán</t>
  </si>
  <si>
    <t>Guarda Recursos San Pablo La Laguna</t>
  </si>
  <si>
    <t>Secretaria Unidad Técnica Atitlán</t>
  </si>
  <si>
    <t>Asesor Técnico Forestal</t>
  </si>
  <si>
    <t>Guarda Recursos San José Chacayá</t>
  </si>
  <si>
    <t>Guarda Recursos San Juan La Laguna</t>
  </si>
  <si>
    <t>Ventanilla Unica</t>
  </si>
  <si>
    <t>Técnico en Gestión Ambiental</t>
  </si>
  <si>
    <t>Verificadores</t>
  </si>
  <si>
    <t xml:space="preserve">OBJETIVO ESTRATEGICO 2.3  Diversidad Biológica: Asegurar la conservación y el uso sostenible de la megadiversidad de Guatemala, así como la distribución justa y equitativa de los beneficios derivados del uso de la misma </t>
  </si>
  <si>
    <t>RUMCLA</t>
  </si>
  <si>
    <t xml:space="preserve">Total de Subprograma </t>
  </si>
  <si>
    <t xml:space="preserve">TOTAL DE PROGRAMA </t>
  </si>
  <si>
    <t xml:space="preserve">Financiamiento </t>
  </si>
  <si>
    <t>Financiamiento</t>
  </si>
  <si>
    <t xml:space="preserve">Total De Subprograma </t>
  </si>
  <si>
    <t>Total de Subprograma</t>
  </si>
  <si>
    <t>Reserva de Uso Multiple la Cuenca del Lago Atitlan -RUMCLA-</t>
  </si>
  <si>
    <t>Reserva de Uso Multiple La Cuenca deL Lago Atitlan -RUMCLA-</t>
  </si>
  <si>
    <t xml:space="preserve">Total de Sub programa </t>
  </si>
  <si>
    <t>Fortalecimiento institucional para operativizar acciones para la conservación, gestión y protección del área protegida y su diverisidad biológica</t>
  </si>
  <si>
    <t xml:space="preserve">Contratación de Director </t>
  </si>
  <si>
    <t xml:space="preserve">Director Regional Altiplano Central </t>
  </si>
  <si>
    <t>Mes</t>
  </si>
  <si>
    <t xml:space="preserve">Guarda Recursos Santa Clara La Laguna </t>
  </si>
  <si>
    <t xml:space="preserve">GUarda Recursos Santa Catarina y San Antonio Palopó </t>
  </si>
  <si>
    <t>Guarda Recursos Santa Lucía Utatlán</t>
  </si>
  <si>
    <t xml:space="preserve">Guarda Recursos Nahualá </t>
  </si>
  <si>
    <t xml:space="preserve">Guarda Recursos San Lucas Tolimán </t>
  </si>
  <si>
    <t>Guarda Recursos Santa  María Visitación</t>
  </si>
  <si>
    <t>Guarda Recursos Tecpán Chimaltenango</t>
  </si>
  <si>
    <t>Guarda Recursos San Pedro La Laguna</t>
  </si>
  <si>
    <t>Guarda Recursos  San Marcos La Laguna</t>
  </si>
  <si>
    <t>Guarda Recursos San Andrés Semetabáj</t>
  </si>
  <si>
    <t xml:space="preserve">Contratación de Personal Guarda Recursos y Conserje  </t>
  </si>
  <si>
    <t xml:space="preserve">Conserje </t>
  </si>
  <si>
    <t>Contratación de Personal Secretarial, Administrtivo y Financiero</t>
  </si>
  <si>
    <t>Secretaria Regional Altiplano Central</t>
  </si>
  <si>
    <t>Delegada Administrativa</t>
  </si>
  <si>
    <t>Delegado Financiero</t>
  </si>
  <si>
    <t xml:space="preserve">Guarda Recursos Panajachel </t>
  </si>
  <si>
    <t>Guarda Recursos/Chofer</t>
  </si>
  <si>
    <t xml:space="preserve">Guarda Recursos Santa Cruz La Laguna </t>
  </si>
  <si>
    <t>Guarda Recursos Concepción</t>
  </si>
  <si>
    <t xml:space="preserve">Contratación de Personal Técnico y Jurídico </t>
  </si>
  <si>
    <t>Analista en Planificación</t>
  </si>
  <si>
    <t xml:space="preserve">Técnico en Vida Silvestre </t>
  </si>
  <si>
    <t>Asesor Profesional en Planificación</t>
  </si>
  <si>
    <t>Procuradora Jurídica</t>
  </si>
  <si>
    <t>Educación Ambiental</t>
  </si>
  <si>
    <t>Técnico en Desarrollo SIGAP</t>
  </si>
  <si>
    <t>5.3. Sub Programa: Incidencia Política</t>
  </si>
  <si>
    <t xml:space="preserve">6.2. Sub Programa: Personal </t>
  </si>
  <si>
    <t>6.2.</t>
  </si>
  <si>
    <t>OBJETIVO ESTRATEGICO: Fortalecimiento institucional para operativizar acciones que contribuyan a la conservación, gestión y protección del área protegida y su diverisidad biológica</t>
  </si>
  <si>
    <t>Fortalecimiento institucional mediante la contratción de personal idóneo para la conservación, gestión y protección del área y su diverisidad biológica</t>
  </si>
  <si>
    <t>Contratos / Informes</t>
  </si>
  <si>
    <t>PRESUPUESTO PLAN OPERATIVO ANUAL  2021</t>
  </si>
  <si>
    <t xml:space="preserve">Sistema de Área Progida: Recuperar y consolidar el Sistema Guatemalteco de Área Protegidas , expandirle hacia áreas prioritaria y mejorar la efectividad de su gestión </t>
  </si>
  <si>
    <t>Recibo 63 A</t>
  </si>
  <si>
    <t xml:space="preserve">Papel Bond Tamaño oficio </t>
  </si>
  <si>
    <t>Papel Bond tamaño oficio</t>
  </si>
  <si>
    <t>Asesor Jurídico</t>
  </si>
  <si>
    <t>Técnico SIGAP</t>
  </si>
  <si>
    <t>Reserva de Uso Múltiple la Cuenca del Lago Atitlán -RUMCLA-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</si>
</sst>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Q&quot;* #,##0.00_);_(&quot;Q&quot;* \(#,##0.00\);_(&quot;Q&quot;* &quot;-&quot;??_);_(@_)"/>
    <numFmt numFmtId="165" formatCode="[$Q-100A]#,##0.00"/>
    <numFmt numFmtId="166" formatCode="&quot;Q&quot;#,##0.00"/>
    <numFmt numFmtId="167" formatCode="_([$Q-100A]* #,##0.00_);_([$Q-100A]* \(#,##0.00\);_([$Q-100A]* &quot;-&quot;??_);_(@_)"/>
    <numFmt numFmtId="168" formatCode="_-[$Q-100A]* #,##0.00_-;\-[$Q-100A]* #,##0.00_-;_-[$Q-100A]* &quot;-&quot;??_-;_-@_-"/>
    <numFmt numFmtId="169" formatCode="[$Q-100A]#,##0"/>
    <numFmt numFmtId="170" formatCode="_([$Q-100A]* #,##0.000_);_([$Q-100A]* \(#,##0.000\);_([$Q-100A]* &quot;-&quot;??_);_(@_)"/>
    <numFmt numFmtId="171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49"/>
      <name val="Arial"/>
      <family val="2"/>
    </font>
    <font>
      <sz val="10"/>
      <color theme="3" tint="-0.499984740745262"/>
      <name val="Arial"/>
      <family val="2"/>
    </font>
    <font>
      <b/>
      <sz val="11"/>
      <color indexed="49"/>
      <name val="Arial"/>
      <family val="2"/>
    </font>
    <font>
      <sz val="11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C2F0"/>
        <bgColor indexed="64"/>
      </patternFill>
    </fill>
    <fill>
      <patternFill patternType="solid">
        <fgColor rgb="FF91DDE7"/>
        <bgColor indexed="64"/>
      </patternFill>
    </fill>
    <fill>
      <patternFill patternType="solid">
        <fgColor rgb="FF2CB2C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164" fontId="13" fillId="0" borderId="0" applyFont="0" applyFill="0" applyBorder="0" applyAlignment="0" applyProtection="0"/>
    <xf numFmtId="0" fontId="1" fillId="0" borderId="0"/>
  </cellStyleXfs>
  <cellXfs count="50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1" applyFont="1" applyAlignment="1">
      <alignment horizontal="center"/>
    </xf>
    <xf numFmtId="0" fontId="4" fillId="0" borderId="0" xfId="1" applyFont="1"/>
    <xf numFmtId="49" fontId="3" fillId="2" borderId="1" xfId="1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vertical="justify"/>
    </xf>
    <xf numFmtId="0" fontId="4" fillId="0" borderId="0" xfId="1" applyFont="1" applyAlignment="1">
      <alignment horizontal="left" vertical="justify"/>
    </xf>
    <xf numFmtId="0" fontId="4" fillId="0" borderId="0" xfId="1" applyFont="1" applyAlignment="1">
      <alignment vertical="justify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3" borderId="0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vertical="justify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3" borderId="1" xfId="1" applyFont="1" applyFill="1" applyBorder="1" applyAlignment="1">
      <alignment horizontal="center" vertical="top" wrapText="1"/>
    </xf>
    <xf numFmtId="0" fontId="3" fillId="0" borderId="0" xfId="1" applyFont="1"/>
    <xf numFmtId="0" fontId="4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 vertical="center"/>
    </xf>
    <xf numFmtId="0" fontId="6" fillId="3" borderId="2" xfId="2" applyFont="1" applyFill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65" fontId="8" fillId="3" borderId="1" xfId="2" applyNumberFormat="1" applyFont="1" applyFill="1" applyBorder="1" applyAlignment="1">
      <alignment horizontal="center" vertical="center" wrapText="1"/>
    </xf>
    <xf numFmtId="0" fontId="6" fillId="0" borderId="0" xfId="2" applyFont="1" applyBorder="1"/>
    <xf numFmtId="0" fontId="6" fillId="0" borderId="0" xfId="2" applyFont="1" applyAlignment="1">
      <alignment horizontal="left" vertical="justify"/>
    </xf>
    <xf numFmtId="0" fontId="6" fillId="0" borderId="0" xfId="2" applyFont="1" applyAlignment="1">
      <alignment vertical="justify"/>
    </xf>
    <xf numFmtId="0" fontId="6" fillId="0" borderId="0" xfId="2" applyFont="1" applyAlignment="1">
      <alignment horizontal="center" vertical="justify"/>
    </xf>
    <xf numFmtId="0" fontId="6" fillId="0" borderId="1" xfId="2" applyFont="1" applyBorder="1" applyAlignment="1">
      <alignment vertical="justify"/>
    </xf>
    <xf numFmtId="0" fontId="6" fillId="3" borderId="0" xfId="2" applyFont="1" applyFill="1" applyBorder="1" applyAlignment="1">
      <alignment horizontal="center" vertical="top" wrapText="1"/>
    </xf>
    <xf numFmtId="0" fontId="6" fillId="3" borderId="13" xfId="2" applyFont="1" applyFill="1" applyBorder="1" applyAlignment="1">
      <alignment horizontal="center" vertical="top" wrapText="1"/>
    </xf>
    <xf numFmtId="0" fontId="6" fillId="0" borderId="0" xfId="2" applyFont="1" applyBorder="1" applyAlignment="1">
      <alignment vertical="justify"/>
    </xf>
    <xf numFmtId="0" fontId="6" fillId="3" borderId="1" xfId="2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left" vertical="top" wrapText="1"/>
    </xf>
    <xf numFmtId="0" fontId="6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4" fillId="0" borderId="1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3" borderId="1" xfId="2" applyFont="1" applyFill="1" applyBorder="1" applyAlignment="1">
      <alignment horizontal="center" vertical="top" wrapText="1"/>
    </xf>
    <xf numFmtId="49" fontId="1" fillId="0" borderId="1" xfId="2" applyNumberFormat="1" applyFont="1" applyFill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/>
    </xf>
    <xf numFmtId="0" fontId="0" fillId="0" borderId="0" xfId="0" applyFont="1"/>
    <xf numFmtId="0" fontId="15" fillId="9" borderId="6" xfId="5" applyFont="1" applyFill="1" applyBorder="1" applyAlignment="1">
      <alignment vertical="center" wrapText="1"/>
    </xf>
    <xf numFmtId="0" fontId="17" fillId="0" borderId="0" xfId="5" applyFont="1"/>
    <xf numFmtId="0" fontId="15" fillId="9" borderId="12" xfId="5" applyFont="1" applyFill="1" applyBorder="1" applyAlignment="1">
      <alignment vertical="center" wrapText="1"/>
    </xf>
    <xf numFmtId="0" fontId="15" fillId="9" borderId="7" xfId="5" applyFont="1" applyFill="1" applyBorder="1" applyAlignment="1">
      <alignment vertical="center" wrapText="1"/>
    </xf>
    <xf numFmtId="166" fontId="15" fillId="9" borderId="5" xfId="5" applyNumberFormat="1" applyFont="1" applyFill="1" applyBorder="1" applyAlignment="1">
      <alignment horizontal="center" vertical="center" wrapText="1"/>
    </xf>
    <xf numFmtId="167" fontId="18" fillId="6" borderId="1" xfId="0" applyNumberFormat="1" applyFont="1" applyFill="1" applyBorder="1" applyAlignment="1">
      <alignment wrapText="1"/>
    </xf>
    <xf numFmtId="0" fontId="14" fillId="6" borderId="1" xfId="0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 wrapText="1"/>
    </xf>
    <xf numFmtId="167" fontId="0" fillId="11" borderId="5" xfId="0" applyNumberFormat="1" applyFont="1" applyFill="1" applyBorder="1"/>
    <xf numFmtId="0" fontId="12" fillId="3" borderId="1" xfId="0" applyFont="1" applyFill="1" applyBorder="1" applyAlignment="1" applyProtection="1">
      <alignment vertical="center" wrapText="1"/>
      <protection locked="0" hidden="1"/>
    </xf>
    <xf numFmtId="0" fontId="0" fillId="0" borderId="1" xfId="0" applyFont="1" applyBorder="1"/>
    <xf numFmtId="167" fontId="0" fillId="0" borderId="1" xfId="0" applyNumberFormat="1" applyFont="1" applyBorder="1"/>
    <xf numFmtId="164" fontId="14" fillId="2" borderId="1" xfId="0" applyNumberFormat="1" applyFont="1" applyFill="1" applyBorder="1" applyAlignment="1">
      <alignment wrapText="1"/>
    </xf>
    <xf numFmtId="0" fontId="15" fillId="0" borderId="0" xfId="1" applyFont="1" applyFill="1" applyBorder="1" applyAlignment="1">
      <alignment vertical="center"/>
    </xf>
    <xf numFmtId="0" fontId="0" fillId="0" borderId="0" xfId="0" applyFont="1" applyBorder="1"/>
    <xf numFmtId="0" fontId="0" fillId="13" borderId="1" xfId="0" applyFont="1" applyFill="1" applyBorder="1" applyAlignment="1">
      <alignment horizontal="left" vertical="center" wrapText="1"/>
    </xf>
    <xf numFmtId="164" fontId="14" fillId="13" borderId="1" xfId="4" applyFont="1" applyFill="1" applyBorder="1"/>
    <xf numFmtId="0" fontId="14" fillId="13" borderId="1" xfId="0" applyFont="1" applyFill="1" applyBorder="1"/>
    <xf numFmtId="0" fontId="0" fillId="0" borderId="1" xfId="0" applyFont="1" applyBorder="1" applyAlignment="1">
      <alignment horizontal="left" vertical="center" wrapText="1"/>
    </xf>
    <xf numFmtId="164" fontId="0" fillId="0" borderId="1" xfId="4" applyFont="1" applyBorder="1"/>
    <xf numFmtId="164" fontId="0" fillId="0" borderId="1" xfId="0" applyNumberFormat="1" applyFont="1" applyBorder="1"/>
    <xf numFmtId="0" fontId="0" fillId="3" borderId="1" xfId="0" applyFont="1" applyFill="1" applyBorder="1" applyAlignment="1">
      <alignment horizontal="left" vertical="center" wrapText="1"/>
    </xf>
    <xf numFmtId="0" fontId="0" fillId="13" borderId="10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1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7" fillId="13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0" fillId="13" borderId="5" xfId="0" applyFont="1" applyFill="1" applyBorder="1" applyAlignment="1">
      <alignment horizontal="left" vertical="center" wrapText="1"/>
    </xf>
    <xf numFmtId="164" fontId="14" fillId="13" borderId="1" xfId="0" applyNumberFormat="1" applyFont="1" applyFill="1" applyBorder="1"/>
    <xf numFmtId="0" fontId="0" fillId="13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13" borderId="1" xfId="0" applyFont="1" applyFill="1" applyBorder="1" applyAlignment="1">
      <alignment vertical="center" wrapText="1"/>
    </xf>
    <xf numFmtId="0" fontId="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vertical="center" wrapText="1"/>
    </xf>
    <xf numFmtId="0" fontId="0" fillId="13" borderId="1" xfId="0" applyFill="1" applyBorder="1" applyAlignment="1">
      <alignment wrapText="1"/>
    </xf>
    <xf numFmtId="0" fontId="0" fillId="1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13" borderId="1" xfId="0" applyFill="1" applyBorder="1" applyAlignment="1">
      <alignment horizontal="left" wrapText="1"/>
    </xf>
    <xf numFmtId="164" fontId="0" fillId="0" borderId="0" xfId="4" applyFont="1" applyBorder="1"/>
    <xf numFmtId="164" fontId="14" fillId="4" borderId="1" xfId="0" applyNumberFormat="1" applyFont="1" applyFill="1" applyBorder="1"/>
    <xf numFmtId="0" fontId="2" fillId="15" borderId="1" xfId="0" applyFont="1" applyFill="1" applyBorder="1" applyAlignment="1">
      <alignment horizontal="left" vertical="center" wrapText="1"/>
    </xf>
    <xf numFmtId="164" fontId="14" fillId="15" borderId="1" xfId="0" applyNumberFormat="1" applyFont="1" applyFill="1" applyBorder="1"/>
    <xf numFmtId="0" fontId="14" fillId="15" borderId="1" xfId="0" applyFont="1" applyFill="1" applyBorder="1"/>
    <xf numFmtId="0" fontId="2" fillId="15" borderId="1" xfId="0" applyFont="1" applyFill="1" applyBorder="1" applyAlignment="1">
      <alignment horizontal="left" wrapText="1"/>
    </xf>
    <xf numFmtId="164" fontId="14" fillId="5" borderId="1" xfId="0" applyNumberFormat="1" applyFont="1" applyFill="1" applyBorder="1"/>
    <xf numFmtId="0" fontId="12" fillId="16" borderId="1" xfId="0" applyFont="1" applyFill="1" applyBorder="1" applyAlignment="1">
      <alignment vertical="top" wrapText="1"/>
    </xf>
    <xf numFmtId="0" fontId="0" fillId="3" borderId="1" xfId="0" applyFont="1" applyFill="1" applyBorder="1"/>
    <xf numFmtId="164" fontId="14" fillId="16" borderId="1" xfId="0" applyNumberFormat="1" applyFont="1" applyFill="1" applyBorder="1"/>
    <xf numFmtId="0" fontId="14" fillId="16" borderId="1" xfId="0" applyFont="1" applyFill="1" applyBorder="1"/>
    <xf numFmtId="0" fontId="12" fillId="16" borderId="1" xfId="0" applyFont="1" applyFill="1" applyBorder="1" applyAlignment="1">
      <alignment horizontal="left" wrapText="1"/>
    </xf>
    <xf numFmtId="164" fontId="14" fillId="7" borderId="1" xfId="0" applyNumberFormat="1" applyFont="1" applyFill="1" applyBorder="1"/>
    <xf numFmtId="0" fontId="1" fillId="17" borderId="1" xfId="5" applyFont="1" applyFill="1" applyBorder="1" applyAlignment="1">
      <alignment horizontal="left" vertical="top" wrapText="1"/>
    </xf>
    <xf numFmtId="164" fontId="14" fillId="17" borderId="1" xfId="0" applyNumberFormat="1" applyFont="1" applyFill="1" applyBorder="1"/>
    <xf numFmtId="0" fontId="14" fillId="17" borderId="1" xfId="0" applyFont="1" applyFill="1" applyBorder="1"/>
    <xf numFmtId="0" fontId="12" fillId="17" borderId="1" xfId="0" applyFont="1" applyFill="1" applyBorder="1" applyAlignment="1">
      <alignment horizontal="left" vertical="top" wrapText="1"/>
    </xf>
    <xf numFmtId="164" fontId="14" fillId="18" borderId="1" xfId="0" applyNumberFormat="1" applyFont="1" applyFill="1" applyBorder="1"/>
    <xf numFmtId="0" fontId="14" fillId="0" borderId="0" xfId="0" applyFont="1"/>
    <xf numFmtId="0" fontId="12" fillId="19" borderId="1" xfId="0" applyFont="1" applyFill="1" applyBorder="1" applyAlignment="1">
      <alignment vertical="center" wrapText="1"/>
    </xf>
    <xf numFmtId="164" fontId="14" fillId="19" borderId="1" xfId="0" applyNumberFormat="1" applyFont="1" applyFill="1" applyBorder="1"/>
    <xf numFmtId="0" fontId="14" fillId="19" borderId="1" xfId="0" applyFont="1" applyFill="1" applyBorder="1"/>
    <xf numFmtId="0" fontId="12" fillId="19" borderId="1" xfId="0" applyFont="1" applyFill="1" applyBorder="1" applyAlignment="1">
      <alignment horizontal="left" vertical="top" wrapText="1"/>
    </xf>
    <xf numFmtId="0" fontId="12" fillId="20" borderId="2" xfId="0" applyFont="1" applyFill="1" applyBorder="1" applyAlignment="1" applyProtection="1">
      <alignment vertical="center" wrapText="1"/>
      <protection locked="0" hidden="1"/>
    </xf>
    <xf numFmtId="0" fontId="17" fillId="0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12" fillId="16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19" borderId="1" xfId="0" applyFont="1" applyFill="1" applyBorder="1"/>
    <xf numFmtId="3" fontId="0" fillId="0" borderId="0" xfId="0" applyNumberFormat="1" applyFont="1"/>
    <xf numFmtId="0" fontId="3" fillId="2" borderId="1" xfId="1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 wrapText="1"/>
    </xf>
    <xf numFmtId="165" fontId="1" fillId="3" borderId="5" xfId="2" applyNumberFormat="1" applyFont="1" applyFill="1" applyBorder="1" applyAlignment="1">
      <alignment horizontal="center" vertical="center" wrapText="1"/>
    </xf>
    <xf numFmtId="170" fontId="0" fillId="0" borderId="1" xfId="0" applyNumberFormat="1" applyFont="1" applyBorder="1"/>
    <xf numFmtId="165" fontId="4" fillId="0" borderId="0" xfId="1" applyNumberFormat="1" applyFont="1"/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1" fillId="3" borderId="5" xfId="2" applyFont="1" applyFill="1" applyBorder="1" applyAlignment="1">
      <alignment horizontal="center" vertical="center" wrapText="1"/>
    </xf>
    <xf numFmtId="165" fontId="4" fillId="0" borderId="5" xfId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wrapText="1"/>
    </xf>
    <xf numFmtId="0" fontId="4" fillId="0" borderId="5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vertical="center" wrapText="1"/>
    </xf>
    <xf numFmtId="49" fontId="5" fillId="5" borderId="1" xfId="2" applyNumberFormat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49" fontId="5" fillId="0" borderId="5" xfId="2" applyNumberFormat="1" applyFont="1" applyFill="1" applyBorder="1" applyAlignment="1">
      <alignment horizontal="left" vertical="center" wrapText="1"/>
    </xf>
    <xf numFmtId="49" fontId="1" fillId="0" borderId="5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0" fontId="1" fillId="0" borderId="5" xfId="2" applyNumberFormat="1" applyFont="1" applyBorder="1" applyAlignment="1">
      <alignment horizontal="center" vertical="center" wrapText="1"/>
    </xf>
    <xf numFmtId="165" fontId="1" fillId="0" borderId="5" xfId="2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horizontal="left" vertical="center" wrapText="1"/>
    </xf>
    <xf numFmtId="0" fontId="1" fillId="0" borderId="5" xfId="2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5" fillId="7" borderId="1" xfId="2" applyNumberFormat="1" applyFont="1" applyFill="1" applyBorder="1" applyAlignment="1">
      <alignment vertical="center" wrapText="1"/>
    </xf>
    <xf numFmtId="0" fontId="11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65" fontId="1" fillId="3" borderId="1" xfId="2" applyNumberFormat="1" applyFont="1" applyFill="1" applyBorder="1" applyAlignment="1">
      <alignment horizontal="center" vertical="center" wrapText="1"/>
    </xf>
    <xf numFmtId="0" fontId="1" fillId="0" borderId="0" xfId="2" applyFont="1" applyBorder="1"/>
    <xf numFmtId="0" fontId="6" fillId="3" borderId="5" xfId="2" applyFont="1" applyFill="1" applyBorder="1" applyAlignment="1">
      <alignment horizontal="center" vertical="top" wrapText="1"/>
    </xf>
    <xf numFmtId="0" fontId="6" fillId="3" borderId="5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center"/>
    </xf>
    <xf numFmtId="49" fontId="5" fillId="8" borderId="1" xfId="2" applyNumberFormat="1" applyFont="1" applyFill="1" applyBorder="1" applyAlignment="1">
      <alignment horizontal="center" vertical="center" wrapText="1"/>
    </xf>
    <xf numFmtId="0" fontId="14" fillId="19" borderId="1" xfId="0" applyNumberFormat="1" applyFont="1" applyFill="1" applyBorder="1"/>
    <xf numFmtId="0" fontId="6" fillId="0" borderId="1" xfId="2" applyFont="1" applyBorder="1" applyAlignment="1">
      <alignment vertical="center" wrapText="1"/>
    </xf>
    <xf numFmtId="0" fontId="5" fillId="3" borderId="0" xfId="2" applyFont="1" applyFill="1" applyBorder="1" applyAlignment="1">
      <alignment vertical="center" wrapText="1"/>
    </xf>
    <xf numFmtId="165" fontId="5" fillId="0" borderId="0" xfId="2" applyNumberFormat="1" applyFont="1" applyBorder="1" applyAlignment="1">
      <alignment vertical="center" wrapText="1"/>
    </xf>
    <xf numFmtId="0" fontId="17" fillId="3" borderId="1" xfId="0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top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left" wrapText="1"/>
    </xf>
    <xf numFmtId="0" fontId="4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justify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0" fillId="3" borderId="1" xfId="4" applyFont="1" applyFill="1" applyBorder="1"/>
    <xf numFmtId="0" fontId="6" fillId="0" borderId="0" xfId="2" applyFont="1" applyBorder="1" applyAlignment="1">
      <alignment horizontal="left" vertical="justify"/>
    </xf>
    <xf numFmtId="0" fontId="6" fillId="0" borderId="0" xfId="2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1" applyFont="1" applyAlignment="1"/>
    <xf numFmtId="0" fontId="3" fillId="4" borderId="21" xfId="0" applyFont="1" applyFill="1" applyBorder="1" applyAlignment="1">
      <alignment horizontal="center" vertical="top"/>
    </xf>
    <xf numFmtId="0" fontId="4" fillId="3" borderId="22" xfId="0" applyFont="1" applyFill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165" fontId="10" fillId="3" borderId="21" xfId="0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top" wrapText="1"/>
    </xf>
    <xf numFmtId="0" fontId="4" fillId="0" borderId="24" xfId="0" applyFont="1" applyBorder="1"/>
    <xf numFmtId="165" fontId="10" fillId="3" borderId="25" xfId="0" applyNumberFormat="1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top" wrapText="1"/>
    </xf>
    <xf numFmtId="0" fontId="6" fillId="3" borderId="27" xfId="2" applyFont="1" applyFill="1" applyBorder="1" applyAlignment="1">
      <alignment horizontal="center" vertical="top" wrapText="1"/>
    </xf>
    <xf numFmtId="0" fontId="21" fillId="0" borderId="0" xfId="2" applyFont="1" applyBorder="1" applyAlignment="1">
      <alignment vertical="center" wrapText="1"/>
    </xf>
    <xf numFmtId="0" fontId="21" fillId="0" borderId="0" xfId="2" applyFont="1" applyBorder="1" applyAlignment="1">
      <alignment vertical="center"/>
    </xf>
    <xf numFmtId="0" fontId="0" fillId="21" borderId="1" xfId="0" applyFont="1" applyFill="1" applyBorder="1" applyAlignment="1">
      <alignment horizontal="left" vertical="center" wrapText="1"/>
    </xf>
    <xf numFmtId="164" fontId="17" fillId="21" borderId="1" xfId="4" applyFont="1" applyFill="1" applyBorder="1"/>
    <xf numFmtId="0" fontId="17" fillId="21" borderId="1" xfId="0" applyFont="1" applyFill="1" applyBorder="1"/>
    <xf numFmtId="0" fontId="5" fillId="6" borderId="1" xfId="2" applyFont="1" applyFill="1" applyBorder="1" applyAlignment="1">
      <alignment horizontal="center" vertical="center" wrapText="1"/>
    </xf>
    <xf numFmtId="49" fontId="5" fillId="6" borderId="1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4" fontId="4" fillId="0" borderId="0" xfId="1" applyNumberFormat="1" applyFont="1"/>
    <xf numFmtId="0" fontId="0" fillId="0" borderId="0" xfId="0" applyFont="1" applyFill="1"/>
    <xf numFmtId="165" fontId="3" fillId="0" borderId="0" xfId="1" applyNumberFormat="1" applyFont="1"/>
    <xf numFmtId="168" fontId="0" fillId="0" borderId="0" xfId="0" applyNumberFormat="1" applyFont="1" applyFill="1"/>
    <xf numFmtId="171" fontId="0" fillId="0" borderId="0" xfId="0" applyNumberFormat="1" applyFont="1" applyFill="1"/>
    <xf numFmtId="169" fontId="0" fillId="0" borderId="0" xfId="0" applyNumberFormat="1" applyFont="1" applyFill="1"/>
    <xf numFmtId="165" fontId="0" fillId="0" borderId="0" xfId="0" applyNumberFormat="1" applyFont="1" applyFill="1"/>
    <xf numFmtId="171" fontId="19" fillId="0" borderId="0" xfId="0" applyNumberFormat="1" applyFont="1" applyFill="1"/>
    <xf numFmtId="164" fontId="0" fillId="0" borderId="0" xfId="0" applyNumberFormat="1" applyFont="1" applyFill="1"/>
    <xf numFmtId="164" fontId="19" fillId="0" borderId="0" xfId="0" applyNumberFormat="1" applyFont="1" applyFill="1"/>
    <xf numFmtId="0" fontId="6" fillId="3" borderId="26" xfId="2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3" borderId="26" xfId="2" applyFont="1" applyFill="1" applyBorder="1" applyAlignment="1">
      <alignment horizontal="center" vertical="center" wrapText="1"/>
    </xf>
    <xf numFmtId="165" fontId="6" fillId="3" borderId="26" xfId="2" applyNumberFormat="1" applyFont="1" applyFill="1" applyBorder="1" applyAlignment="1">
      <alignment horizontal="center" vertical="center" wrapText="1"/>
    </xf>
    <xf numFmtId="165" fontId="1" fillId="3" borderId="26" xfId="2" applyNumberFormat="1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/>
    </xf>
    <xf numFmtId="0" fontId="5" fillId="3" borderId="0" xfId="2" applyFont="1" applyFill="1" applyBorder="1"/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/>
    <xf numFmtId="0" fontId="4" fillId="0" borderId="0" xfId="1" applyFont="1" applyBorder="1" applyAlignment="1"/>
    <xf numFmtId="0" fontId="17" fillId="0" borderId="1" xfId="0" applyFont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49" fontId="5" fillId="6" borderId="7" xfId="2" applyNumberFormat="1" applyFont="1" applyFill="1" applyBorder="1" applyAlignment="1">
      <alignment horizontal="center" vertical="center" wrapText="1"/>
    </xf>
    <xf numFmtId="49" fontId="5" fillId="6" borderId="5" xfId="2" applyNumberFormat="1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/>
    </xf>
    <xf numFmtId="49" fontId="5" fillId="6" borderId="1" xfId="2" applyNumberFormat="1" applyFont="1" applyFill="1" applyBorder="1" applyAlignment="1">
      <alignment horizontal="center" vertical="center" wrapText="1"/>
    </xf>
    <xf numFmtId="168" fontId="3" fillId="0" borderId="15" xfId="2" applyNumberFormat="1" applyFont="1" applyBorder="1" applyAlignment="1">
      <alignment vertical="center"/>
    </xf>
    <xf numFmtId="168" fontId="3" fillId="0" borderId="16" xfId="2" applyNumberFormat="1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3" fillId="0" borderId="18" xfId="2" applyFont="1" applyBorder="1" applyAlignment="1">
      <alignment vertical="center"/>
    </xf>
    <xf numFmtId="0" fontId="3" fillId="0" borderId="19" xfId="2" applyFont="1" applyBorder="1" applyAlignment="1">
      <alignment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27" xfId="2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top" wrapText="1"/>
    </xf>
    <xf numFmtId="0" fontId="5" fillId="3" borderId="9" xfId="2" applyFont="1" applyFill="1" applyBorder="1" applyAlignment="1">
      <alignment horizontal="center" vertical="top" wrapText="1"/>
    </xf>
    <xf numFmtId="0" fontId="5" fillId="3" borderId="10" xfId="2" applyFont="1" applyFill="1" applyBorder="1" applyAlignment="1">
      <alignment horizontal="center" vertical="top" wrapText="1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justify"/>
    </xf>
    <xf numFmtId="0" fontId="4" fillId="3" borderId="5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top" wrapText="1"/>
    </xf>
    <xf numFmtId="0" fontId="3" fillId="3" borderId="11" xfId="1" applyFont="1" applyFill="1" applyBorder="1" applyAlignment="1">
      <alignment horizontal="center" vertical="top" wrapText="1"/>
    </xf>
    <xf numFmtId="0" fontId="3" fillId="3" borderId="12" xfId="1" applyFont="1" applyFill="1" applyBorder="1" applyAlignment="1">
      <alignment horizontal="center" vertical="top" wrapText="1"/>
    </xf>
    <xf numFmtId="0" fontId="4" fillId="3" borderId="10" xfId="1" applyFont="1" applyFill="1" applyBorder="1" applyAlignment="1">
      <alignment horizontal="center" vertical="top" wrapText="1"/>
    </xf>
    <xf numFmtId="0" fontId="4" fillId="3" borderId="11" xfId="1" applyFont="1" applyFill="1" applyBorder="1" applyAlignment="1">
      <alignment horizontal="center" vertical="top" wrapText="1"/>
    </xf>
    <xf numFmtId="0" fontId="4" fillId="3" borderId="1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justify"/>
    </xf>
    <xf numFmtId="0" fontId="3" fillId="2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justify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top"/>
    </xf>
    <xf numFmtId="0" fontId="3" fillId="3" borderId="1" xfId="1" applyFont="1" applyFill="1" applyBorder="1" applyAlignment="1">
      <alignment horizontal="left" vertical="justify"/>
    </xf>
    <xf numFmtId="165" fontId="3" fillId="0" borderId="1" xfId="1" applyNumberFormat="1" applyFont="1" applyFill="1" applyBorder="1" applyAlignment="1">
      <alignment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justify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justify" wrapText="1"/>
    </xf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justify"/>
    </xf>
    <xf numFmtId="0" fontId="21" fillId="0" borderId="17" xfId="1" applyFont="1" applyBorder="1" applyAlignment="1">
      <alignment horizontal="left" vertical="justify"/>
    </xf>
    <xf numFmtId="0" fontId="21" fillId="0" borderId="18" xfId="1" applyFont="1" applyBorder="1" applyAlignment="1">
      <alignment horizontal="left" vertical="justify"/>
    </xf>
    <xf numFmtId="0" fontId="21" fillId="0" borderId="19" xfId="1" applyFont="1" applyBorder="1" applyAlignment="1">
      <alignment horizontal="left" vertical="justify"/>
    </xf>
    <xf numFmtId="165" fontId="20" fillId="0" borderId="17" xfId="1" applyNumberFormat="1" applyFont="1" applyFill="1" applyBorder="1" applyAlignment="1">
      <alignment horizontal="right" vertical="center" wrapText="1"/>
    </xf>
    <xf numFmtId="165" fontId="20" fillId="0" borderId="19" xfId="1" applyNumberFormat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165" fontId="20" fillId="0" borderId="17" xfId="1" applyNumberFormat="1" applyFont="1" applyBorder="1" applyAlignment="1">
      <alignment horizontal="center" vertical="center"/>
    </xf>
    <xf numFmtId="165" fontId="20" fillId="0" borderId="19" xfId="1" applyNumberFormat="1" applyFont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166" fontId="21" fillId="0" borderId="1" xfId="1" applyNumberFormat="1" applyFont="1" applyFill="1" applyBorder="1" applyAlignment="1">
      <alignment horizontal="right" vertical="center" wrapText="1"/>
    </xf>
    <xf numFmtId="165" fontId="21" fillId="0" borderId="17" xfId="1" applyNumberFormat="1" applyFont="1" applyFill="1" applyBorder="1" applyAlignment="1">
      <alignment horizontal="right" vertical="center" wrapText="1"/>
    </xf>
    <xf numFmtId="165" fontId="21" fillId="0" borderId="19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left" vertical="top" wrapText="1"/>
    </xf>
    <xf numFmtId="49" fontId="3" fillId="4" borderId="5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165" fontId="21" fillId="0" borderId="17" xfId="0" applyNumberFormat="1" applyFont="1" applyBorder="1" applyAlignment="1">
      <alignment vertical="center"/>
    </xf>
    <xf numFmtId="165" fontId="21" fillId="0" borderId="19" xfId="0" applyNumberFormat="1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top" wrapText="1"/>
    </xf>
    <xf numFmtId="0" fontId="5" fillId="3" borderId="3" xfId="2" applyFont="1" applyFill="1" applyBorder="1" applyAlignment="1">
      <alignment horizontal="center" vertical="top" wrapText="1"/>
    </xf>
    <xf numFmtId="0" fontId="5" fillId="3" borderId="4" xfId="2" applyFont="1" applyFill="1" applyBorder="1" applyAlignment="1">
      <alignment horizontal="center" vertical="top" wrapText="1"/>
    </xf>
    <xf numFmtId="0" fontId="5" fillId="5" borderId="1" xfId="2" applyFont="1" applyFill="1" applyBorder="1" applyAlignment="1">
      <alignment horizontal="left" vertical="center" wrapText="1"/>
    </xf>
    <xf numFmtId="49" fontId="5" fillId="5" borderId="1" xfId="2" applyNumberFormat="1" applyFont="1" applyFill="1" applyBorder="1" applyAlignment="1">
      <alignment horizontal="center" vertical="center" wrapText="1"/>
    </xf>
    <xf numFmtId="49" fontId="5" fillId="5" borderId="5" xfId="2" applyNumberFormat="1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5" fillId="0" borderId="18" xfId="2" applyFont="1" applyFill="1" applyBorder="1" applyAlignment="1">
      <alignment horizontal="left" vertical="center" wrapText="1"/>
    </xf>
    <xf numFmtId="0" fontId="5" fillId="0" borderId="19" xfId="2" applyFont="1" applyFill="1" applyBorder="1" applyAlignment="1">
      <alignment horizontal="left" vertical="center" wrapText="1"/>
    </xf>
    <xf numFmtId="165" fontId="5" fillId="0" borderId="17" xfId="2" applyNumberFormat="1" applyFont="1" applyBorder="1" applyAlignment="1">
      <alignment vertical="center"/>
    </xf>
    <xf numFmtId="165" fontId="5" fillId="0" borderId="19" xfId="2" applyNumberFormat="1" applyFont="1" applyBorder="1" applyAlignment="1">
      <alignment vertical="center"/>
    </xf>
    <xf numFmtId="0" fontId="5" fillId="0" borderId="17" xfId="2" applyFont="1" applyFill="1" applyBorder="1" applyAlignment="1">
      <alignment vertical="center" wrapText="1"/>
    </xf>
    <xf numFmtId="0" fontId="5" fillId="0" borderId="18" xfId="2" applyFont="1" applyFill="1" applyBorder="1" applyAlignment="1">
      <alignment vertical="center" wrapText="1"/>
    </xf>
    <xf numFmtId="0" fontId="5" fillId="0" borderId="19" xfId="2" applyFont="1" applyFill="1" applyBorder="1" applyAlignment="1">
      <alignment vertical="center" wrapText="1"/>
    </xf>
    <xf numFmtId="165" fontId="5" fillId="0" borderId="17" xfId="2" applyNumberFormat="1" applyFont="1" applyBorder="1" applyAlignment="1"/>
    <xf numFmtId="165" fontId="5" fillId="0" borderId="19" xfId="2" applyNumberFormat="1" applyFont="1" applyBorder="1" applyAlignment="1"/>
    <xf numFmtId="0" fontId="21" fillId="0" borderId="17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165" fontId="21" fillId="0" borderId="17" xfId="2" applyNumberFormat="1" applyFont="1" applyBorder="1" applyAlignment="1">
      <alignment vertical="center"/>
    </xf>
    <xf numFmtId="165" fontId="21" fillId="0" borderId="19" xfId="2" applyNumberFormat="1" applyFont="1" applyBorder="1" applyAlignment="1">
      <alignment vertical="center"/>
    </xf>
    <xf numFmtId="0" fontId="5" fillId="5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top" wrapText="1"/>
    </xf>
    <xf numFmtId="0" fontId="6" fillId="3" borderId="3" xfId="2" applyFont="1" applyFill="1" applyBorder="1" applyAlignment="1">
      <alignment vertical="top" wrapText="1"/>
    </xf>
    <xf numFmtId="0" fontId="6" fillId="3" borderId="4" xfId="2" applyFont="1" applyFill="1" applyBorder="1" applyAlignment="1">
      <alignment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top" wrapText="1"/>
    </xf>
    <xf numFmtId="0" fontId="5" fillId="3" borderId="17" xfId="2" applyFont="1" applyFill="1" applyBorder="1" applyAlignment="1">
      <alignment vertical="center" wrapText="1"/>
    </xf>
    <xf numFmtId="0" fontId="5" fillId="3" borderId="18" xfId="2" applyFont="1" applyFill="1" applyBorder="1" applyAlignment="1">
      <alignment vertical="center" wrapText="1"/>
    </xf>
    <xf numFmtId="0" fontId="5" fillId="3" borderId="19" xfId="2" applyFont="1" applyFill="1" applyBorder="1" applyAlignment="1">
      <alignment vertical="center" wrapText="1"/>
    </xf>
    <xf numFmtId="0" fontId="5" fillId="7" borderId="1" xfId="2" applyFont="1" applyFill="1" applyBorder="1" applyAlignment="1">
      <alignment horizontal="center" vertical="center" wrapText="1"/>
    </xf>
    <xf numFmtId="49" fontId="5" fillId="7" borderId="1" xfId="2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165" fontId="5" fillId="0" borderId="17" xfId="2" applyNumberFormat="1" applyFont="1" applyBorder="1" applyAlignment="1">
      <alignment vertical="center" wrapText="1"/>
    </xf>
    <xf numFmtId="165" fontId="5" fillId="0" borderId="19" xfId="2" applyNumberFormat="1" applyFont="1" applyBorder="1" applyAlignment="1">
      <alignment vertical="center" wrapText="1"/>
    </xf>
    <xf numFmtId="0" fontId="21" fillId="3" borderId="17" xfId="2" applyFont="1" applyFill="1" applyBorder="1" applyAlignment="1">
      <alignment vertical="center" wrapText="1"/>
    </xf>
    <xf numFmtId="0" fontId="21" fillId="3" borderId="18" xfId="2" applyFont="1" applyFill="1" applyBorder="1" applyAlignment="1">
      <alignment vertical="center" wrapText="1"/>
    </xf>
    <xf numFmtId="0" fontId="21" fillId="3" borderId="19" xfId="2" applyFont="1" applyFill="1" applyBorder="1" applyAlignment="1">
      <alignment vertical="center" wrapText="1"/>
    </xf>
    <xf numFmtId="165" fontId="21" fillId="0" borderId="17" xfId="2" applyNumberFormat="1" applyFont="1" applyBorder="1" applyAlignment="1">
      <alignment vertical="center" wrapText="1"/>
    </xf>
    <xf numFmtId="165" fontId="21" fillId="0" borderId="19" xfId="2" applyNumberFormat="1" applyFont="1" applyBorder="1" applyAlignment="1">
      <alignment vertical="center" wrapText="1"/>
    </xf>
    <xf numFmtId="0" fontId="11" fillId="7" borderId="1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11" fillId="7" borderId="2" xfId="2" applyFont="1" applyFill="1" applyBorder="1" applyAlignment="1">
      <alignment horizontal="center" vertical="center"/>
    </xf>
    <xf numFmtId="0" fontId="11" fillId="7" borderId="3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49" fontId="5" fillId="7" borderId="5" xfId="2" applyNumberFormat="1" applyFont="1" applyFill="1" applyBorder="1" applyAlignment="1">
      <alignment horizontal="center" vertical="center" wrapText="1"/>
    </xf>
    <xf numFmtId="0" fontId="5" fillId="7" borderId="6" xfId="2" applyFont="1" applyFill="1" applyBorder="1" applyAlignment="1">
      <alignment horizontal="center" vertical="center"/>
    </xf>
    <xf numFmtId="49" fontId="5" fillId="7" borderId="2" xfId="2" applyNumberFormat="1" applyFont="1" applyFill="1" applyBorder="1" applyAlignment="1">
      <alignment horizontal="center" vertical="center" wrapText="1"/>
    </xf>
    <xf numFmtId="49" fontId="5" fillId="7" borderId="3" xfId="2" applyNumberFormat="1" applyFont="1" applyFill="1" applyBorder="1" applyAlignment="1">
      <alignment horizontal="center" vertical="center" wrapText="1"/>
    </xf>
    <xf numFmtId="49" fontId="5" fillId="7" borderId="4" xfId="2" applyNumberFormat="1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center" vertical="center" wrapText="1"/>
    </xf>
    <xf numFmtId="49" fontId="5" fillId="8" borderId="1" xfId="2" applyNumberFormat="1" applyFont="1" applyFill="1" applyBorder="1" applyAlignment="1">
      <alignment horizontal="center" vertical="center" wrapText="1"/>
    </xf>
    <xf numFmtId="49" fontId="5" fillId="8" borderId="5" xfId="2" applyNumberFormat="1" applyFont="1" applyFill="1" applyBorder="1" applyAlignment="1">
      <alignment horizontal="center" vertical="center" wrapText="1"/>
    </xf>
    <xf numFmtId="0" fontId="5" fillId="8" borderId="6" xfId="2" applyFont="1" applyFill="1" applyBorder="1" applyAlignment="1">
      <alignment horizontal="center" vertical="center"/>
    </xf>
    <xf numFmtId="49" fontId="5" fillId="8" borderId="2" xfId="2" applyNumberFormat="1" applyFont="1" applyFill="1" applyBorder="1" applyAlignment="1">
      <alignment horizontal="center" vertical="center" wrapText="1"/>
    </xf>
    <xf numFmtId="49" fontId="5" fillId="8" borderId="3" xfId="2" applyNumberFormat="1" applyFont="1" applyFill="1" applyBorder="1" applyAlignment="1">
      <alignment horizontal="center" vertical="center" wrapText="1"/>
    </xf>
    <xf numFmtId="49" fontId="5" fillId="8" borderId="4" xfId="2" applyNumberFormat="1" applyFont="1" applyFill="1" applyBorder="1" applyAlignment="1">
      <alignment horizontal="center" vertical="center" wrapText="1"/>
    </xf>
    <xf numFmtId="0" fontId="11" fillId="8" borderId="2" xfId="2" applyFont="1" applyFill="1" applyBorder="1" applyAlignment="1">
      <alignment horizontal="center" vertical="center"/>
    </xf>
    <xf numFmtId="0" fontId="11" fillId="8" borderId="3" xfId="2" applyFont="1" applyFill="1" applyBorder="1" applyAlignment="1">
      <alignment horizontal="center" vertical="center"/>
    </xf>
    <xf numFmtId="0" fontId="11" fillId="8" borderId="4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6" fillId="0" borderId="26" xfId="2" applyFont="1" applyBorder="1" applyAlignment="1">
      <alignment horizontal="center"/>
    </xf>
    <xf numFmtId="0" fontId="0" fillId="14" borderId="0" xfId="0" applyFont="1" applyFill="1" applyAlignment="1">
      <alignment horizontal="center" wrapText="1"/>
    </xf>
    <xf numFmtId="0" fontId="0" fillId="14" borderId="0" xfId="0" applyFont="1" applyFill="1" applyAlignment="1">
      <alignment horizontal="center" vertical="center" wrapText="1"/>
    </xf>
    <xf numFmtId="0" fontId="0" fillId="12" borderId="9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15" fillId="12" borderId="1" xfId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wrapText="1"/>
    </xf>
    <xf numFmtId="0" fontId="14" fillId="6" borderId="0" xfId="0" applyFont="1" applyFill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 wrapText="1"/>
    </xf>
    <xf numFmtId="0" fontId="0" fillId="12" borderId="0" xfId="0" applyFont="1" applyFill="1" applyAlignment="1">
      <alignment horizontal="center" wrapText="1"/>
    </xf>
    <xf numFmtId="0" fontId="14" fillId="18" borderId="2" xfId="0" applyFont="1" applyFill="1" applyBorder="1" applyAlignment="1">
      <alignment horizontal="center"/>
    </xf>
    <xf numFmtId="0" fontId="14" fillId="18" borderId="3" xfId="0" applyFont="1" applyFill="1" applyBorder="1" applyAlignment="1">
      <alignment horizontal="center"/>
    </xf>
    <xf numFmtId="0" fontId="14" fillId="18" borderId="4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 wrapText="1"/>
    </xf>
    <xf numFmtId="0" fontId="14" fillId="18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0" fillId="14" borderId="2" xfId="0" applyFont="1" applyFill="1" applyBorder="1" applyAlignment="1">
      <alignment horizontal="center" wrapText="1"/>
    </xf>
    <xf numFmtId="0" fontId="0" fillId="14" borderId="3" xfId="0" applyFont="1" applyFill="1" applyBorder="1" applyAlignment="1">
      <alignment horizontal="center" wrapText="1"/>
    </xf>
    <xf numFmtId="0" fontId="0" fillId="14" borderId="4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left" vertical="top" wrapText="1"/>
    </xf>
    <xf numFmtId="49" fontId="3" fillId="4" borderId="7" xfId="0" applyNumberFormat="1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top"/>
    </xf>
    <xf numFmtId="0" fontId="3" fillId="4" borderId="29" xfId="0" applyFont="1" applyFill="1" applyBorder="1" applyAlignment="1">
      <alignment horizontal="center" vertical="top"/>
    </xf>
    <xf numFmtId="0" fontId="21" fillId="3" borderId="13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3" fillId="3" borderId="30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11" xfId="0" applyFont="1" applyFill="1" applyBorder="1"/>
    <xf numFmtId="0" fontId="3" fillId="3" borderId="14" xfId="0" applyFont="1" applyFill="1" applyBorder="1"/>
    <xf numFmtId="0" fontId="3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21" fillId="3" borderId="0" xfId="2" applyFont="1" applyFill="1" applyBorder="1" applyAlignment="1">
      <alignment horizontal="center" vertical="center"/>
    </xf>
    <xf numFmtId="0" fontId="5" fillId="3" borderId="0" xfId="2" applyFont="1" applyFill="1"/>
    <xf numFmtId="0" fontId="6" fillId="3" borderId="0" xfId="2" applyFont="1" applyFill="1"/>
    <xf numFmtId="0" fontId="5" fillId="3" borderId="0" xfId="2" applyFont="1" applyFill="1" applyAlignment="1">
      <alignment vertical="center"/>
    </xf>
    <xf numFmtId="0" fontId="21" fillId="3" borderId="13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0" fontId="21" fillId="3" borderId="10" xfId="2" applyFont="1" applyFill="1" applyBorder="1" applyAlignment="1">
      <alignment horizontal="center" vertical="center" wrapText="1"/>
    </xf>
    <xf numFmtId="0" fontId="21" fillId="3" borderId="30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5" fillId="3" borderId="30" xfId="2" applyFont="1" applyFill="1" applyBorder="1"/>
    <xf numFmtId="0" fontId="6" fillId="3" borderId="11" xfId="2" applyFont="1" applyFill="1" applyBorder="1"/>
    <xf numFmtId="0" fontId="5" fillId="3" borderId="14" xfId="2" applyFont="1" applyFill="1" applyBorder="1"/>
    <xf numFmtId="0" fontId="5" fillId="3" borderId="8" xfId="2" applyFont="1" applyFill="1" applyBorder="1"/>
    <xf numFmtId="0" fontId="6" fillId="3" borderId="8" xfId="2" applyFont="1" applyFill="1" applyBorder="1"/>
    <xf numFmtId="0" fontId="6" fillId="3" borderId="12" xfId="2" applyFont="1" applyFill="1" applyBorder="1"/>
    <xf numFmtId="0" fontId="5" fillId="3" borderId="3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justify"/>
    </xf>
    <xf numFmtId="0" fontId="6" fillId="3" borderId="0" xfId="2" applyFont="1" applyFill="1" applyBorder="1" applyAlignment="1">
      <alignment vertical="justify"/>
    </xf>
    <xf numFmtId="0" fontId="12" fillId="3" borderId="0" xfId="0" applyFont="1" applyFill="1" applyBorder="1" applyAlignment="1">
      <alignment horizontal="left" vertical="center" wrapText="1"/>
    </xf>
    <xf numFmtId="0" fontId="5" fillId="3" borderId="0" xfId="2" applyFont="1" applyFill="1" applyAlignment="1">
      <alignment horizontal="center"/>
    </xf>
    <xf numFmtId="0" fontId="5" fillId="8" borderId="7" xfId="2" applyFont="1" applyFill="1" applyBorder="1" applyAlignment="1">
      <alignment horizontal="center" vertical="center" wrapText="1"/>
    </xf>
    <xf numFmtId="49" fontId="5" fillId="8" borderId="7" xfId="2" applyNumberFormat="1" applyFont="1" applyFill="1" applyBorder="1" applyAlignment="1">
      <alignment horizontal="center" vertical="center" wrapText="1"/>
    </xf>
    <xf numFmtId="0" fontId="11" fillId="8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/>
    </xf>
    <xf numFmtId="0" fontId="15" fillId="9" borderId="11" xfId="5" applyFont="1" applyFill="1" applyBorder="1" applyAlignment="1">
      <alignment vertical="center" wrapText="1"/>
    </xf>
    <xf numFmtId="0" fontId="15" fillId="9" borderId="6" xfId="5" applyFont="1" applyFill="1" applyBorder="1" applyAlignment="1">
      <alignment horizontal="center" vertical="center" wrapText="1"/>
    </xf>
    <xf numFmtId="0" fontId="16" fillId="10" borderId="7" xfId="5" applyFont="1" applyFill="1" applyBorder="1" applyAlignment="1">
      <alignment horizontal="center" vertical="center" wrapText="1"/>
    </xf>
    <xf numFmtId="0" fontId="21" fillId="3" borderId="14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</cellXfs>
  <cellStyles count="6">
    <cellStyle name="Moneda" xfId="4" builtinId="4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3 2" xfId="5" xr:uid="{00000000-0005-0000-0000-000005000000}"/>
  </cellStyles>
  <dxfs count="3">
    <dxf>
      <font>
        <b/>
        <i val="0"/>
        <color theme="0"/>
      </font>
      <fill>
        <patternFill patternType="darkGray">
          <fgColor theme="1" tint="0.24994659260841701"/>
          <bgColor theme="1" tint="0.34998626667073579"/>
        </patternFill>
      </fill>
    </dxf>
    <dxf>
      <font>
        <b/>
        <i/>
      </font>
      <fill>
        <patternFill patternType="lightGray">
          <fgColor theme="0" tint="-0.34998626667073579"/>
          <bgColor theme="0" tint="-0.34998626667073579"/>
        </patternFill>
      </fill>
    </dxf>
    <dxf>
      <fill>
        <patternFill patternType="solid">
          <fgColor theme="2"/>
          <bgColor theme="2"/>
        </patternFill>
      </fill>
      <border>
        <top style="hair">
          <color auto="1"/>
        </top>
        <vertical/>
        <horizontal/>
      </border>
    </dxf>
  </dxfs>
  <tableStyles count="0" defaultTableStyle="TableStyleMedium2" defaultPivotStyle="PivotStyleMedium9"/>
  <colors>
    <mruColors>
      <color rgb="FFFFFF66"/>
      <color rgb="FF91DDE7"/>
      <color rgb="FF2CB2C4"/>
      <color rgb="FF00C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ap/Desktop/CONAP%20DRAC%202019/INFORMES%20A%20PLANIFICACION%20CENTRAL/INFORME%20SOBRE%20POA%202020/POA%202020/POA%202020%20DIRECCION%20REGIONAL%20ALTIPLANO%20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 de Información"/>
      <sheetName val="Cuadro de Control"/>
      <sheetName val="C. Costo y U. Gestión"/>
      <sheetName val="Red Programática"/>
      <sheetName val="Acción"/>
      <sheetName val="Insumos"/>
      <sheetName val="Áreas Protegidas"/>
      <sheetName val="Municipio"/>
      <sheetName val="Regionalización CONAP"/>
      <sheetName val="Regionalización Gob.Central"/>
      <sheetName val="Planificación Financiera"/>
      <sheetName val="Resumen Técnico Financiero"/>
      <sheetName val="Cuadro Inferencial"/>
      <sheetName val="Cuadros para Graficar"/>
      <sheetName val="Graf.S.P.Documento"/>
      <sheetName val="Graf.S.P.Personas"/>
      <sheetName val="Graf.S.P. EVENTO"/>
      <sheetName val="Graf.S.P.HECTÁREA"/>
      <sheetName val="Graf.S.P.Lisencias..."/>
      <sheetName val="Graf.AC.DOCUMENTO"/>
      <sheetName val="Graf.AC.PERSONAS"/>
      <sheetName val="Graf.AC.EVENTO"/>
      <sheetName val="Graf.AC.%EJECUCIÓN"/>
      <sheetName val="Listado de Datos 1(SP.AC.IN)"/>
      <sheetName val="Listado de Datos 2(CC.UG)"/>
      <sheetName val="Listado de datos 3(AP.MU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W13"/>
  <sheetViews>
    <sheetView zoomScaleNormal="100" zoomScalePageLayoutView="90" workbookViewId="0">
      <selection activeCell="T10" sqref="T10:U10"/>
    </sheetView>
  </sheetViews>
  <sheetFormatPr baseColWidth="10" defaultRowHeight="12.75" x14ac:dyDescent="0.2"/>
  <cols>
    <col min="1" max="1" width="5.28515625" style="35" customWidth="1"/>
    <col min="2" max="2" width="32.42578125" style="44" customWidth="1"/>
    <col min="3" max="3" width="22.140625" style="56" customWidth="1"/>
    <col min="4" max="4" width="23.5703125" style="45" customWidth="1"/>
    <col min="5" max="5" width="2.140625" style="45" customWidth="1"/>
    <col min="6" max="6" width="2" style="45" customWidth="1"/>
    <col min="7" max="7" width="2.28515625" style="45" customWidth="1"/>
    <col min="8" max="8" width="2" style="45" customWidth="1"/>
    <col min="9" max="9" width="2.42578125" style="45" customWidth="1"/>
    <col min="10" max="10" width="2" style="45" customWidth="1"/>
    <col min="11" max="12" width="2.42578125" style="45" bestFit="1" customWidth="1"/>
    <col min="13" max="16" width="2" style="45" customWidth="1"/>
    <col min="17" max="17" width="12.5703125" style="35" bestFit="1" customWidth="1"/>
    <col min="18" max="18" width="13.5703125" style="45" bestFit="1" customWidth="1"/>
    <col min="19" max="19" width="7.42578125" style="35" bestFit="1" customWidth="1"/>
    <col min="20" max="20" width="7" style="35" bestFit="1" customWidth="1"/>
    <col min="21" max="21" width="8" style="35" bestFit="1" customWidth="1"/>
    <col min="22" max="175" width="11.42578125" style="35"/>
    <col min="176" max="176" width="5.28515625" style="35" customWidth="1"/>
    <col min="177" max="177" width="26" style="35" customWidth="1"/>
    <col min="178" max="178" width="11.140625" style="35" customWidth="1"/>
    <col min="179" max="179" width="21.42578125" style="35" customWidth="1"/>
    <col min="180" max="180" width="2.140625" style="35" customWidth="1"/>
    <col min="181" max="183" width="2" style="35" customWidth="1"/>
    <col min="184" max="184" width="2.42578125" style="35" customWidth="1"/>
    <col min="185" max="185" width="2" style="35" customWidth="1"/>
    <col min="186" max="187" width="2.42578125" style="35" bestFit="1" customWidth="1"/>
    <col min="188" max="191" width="2" style="35" customWidth="1"/>
    <col min="192" max="192" width="11.7109375" style="35" customWidth="1"/>
    <col min="193" max="193" width="12.140625" style="35" customWidth="1"/>
    <col min="194" max="194" width="12.85546875" style="35" customWidth="1"/>
    <col min="195" max="195" width="14" style="35" customWidth="1"/>
    <col min="196" max="196" width="10.5703125" style="35" customWidth="1"/>
    <col min="197" max="197" width="12.140625" style="35" customWidth="1"/>
    <col min="198" max="198" width="7.42578125" style="35" customWidth="1"/>
    <col min="199" max="199" width="16" style="35" customWidth="1"/>
    <col min="200" max="201" width="11.42578125" style="35"/>
    <col min="202" max="202" width="13.140625" style="35" bestFit="1" customWidth="1"/>
    <col min="203" max="431" width="11.42578125" style="35"/>
    <col min="432" max="432" width="5.28515625" style="35" customWidth="1"/>
    <col min="433" max="433" width="26" style="35" customWidth="1"/>
    <col min="434" max="434" width="11.140625" style="35" customWidth="1"/>
    <col min="435" max="435" width="21.42578125" style="35" customWidth="1"/>
    <col min="436" max="436" width="2.140625" style="35" customWidth="1"/>
    <col min="437" max="439" width="2" style="35" customWidth="1"/>
    <col min="440" max="440" width="2.42578125" style="35" customWidth="1"/>
    <col min="441" max="441" width="2" style="35" customWidth="1"/>
    <col min="442" max="443" width="2.42578125" style="35" bestFit="1" customWidth="1"/>
    <col min="444" max="447" width="2" style="35" customWidth="1"/>
    <col min="448" max="448" width="11.7109375" style="35" customWidth="1"/>
    <col min="449" max="449" width="12.140625" style="35" customWidth="1"/>
    <col min="450" max="450" width="12.85546875" style="35" customWidth="1"/>
    <col min="451" max="451" width="14" style="35" customWidth="1"/>
    <col min="452" max="452" width="10.5703125" style="35" customWidth="1"/>
    <col min="453" max="453" width="12.140625" style="35" customWidth="1"/>
    <col min="454" max="454" width="7.42578125" style="35" customWidth="1"/>
    <col min="455" max="455" width="16" style="35" customWidth="1"/>
    <col min="456" max="457" width="11.42578125" style="35"/>
    <col min="458" max="458" width="13.140625" style="35" bestFit="1" customWidth="1"/>
    <col min="459" max="687" width="11.42578125" style="35"/>
    <col min="688" max="688" width="5.28515625" style="35" customWidth="1"/>
    <col min="689" max="689" width="26" style="35" customWidth="1"/>
    <col min="690" max="690" width="11.140625" style="35" customWidth="1"/>
    <col min="691" max="691" width="21.42578125" style="35" customWidth="1"/>
    <col min="692" max="692" width="2.140625" style="35" customWidth="1"/>
    <col min="693" max="695" width="2" style="35" customWidth="1"/>
    <col min="696" max="696" width="2.42578125" style="35" customWidth="1"/>
    <col min="697" max="697" width="2" style="35" customWidth="1"/>
    <col min="698" max="699" width="2.42578125" style="35" bestFit="1" customWidth="1"/>
    <col min="700" max="703" width="2" style="35" customWidth="1"/>
    <col min="704" max="704" width="11.7109375" style="35" customWidth="1"/>
    <col min="705" max="705" width="12.140625" style="35" customWidth="1"/>
    <col min="706" max="706" width="12.85546875" style="35" customWidth="1"/>
    <col min="707" max="707" width="14" style="35" customWidth="1"/>
    <col min="708" max="708" width="10.5703125" style="35" customWidth="1"/>
    <col min="709" max="709" width="12.140625" style="35" customWidth="1"/>
    <col min="710" max="710" width="7.42578125" style="35" customWidth="1"/>
    <col min="711" max="711" width="16" style="35" customWidth="1"/>
    <col min="712" max="713" width="11.42578125" style="35"/>
    <col min="714" max="714" width="13.140625" style="35" bestFit="1" customWidth="1"/>
    <col min="715" max="943" width="11.42578125" style="35"/>
    <col min="944" max="944" width="5.28515625" style="35" customWidth="1"/>
    <col min="945" max="945" width="26" style="35" customWidth="1"/>
    <col min="946" max="946" width="11.140625" style="35" customWidth="1"/>
    <col min="947" max="947" width="21.42578125" style="35" customWidth="1"/>
    <col min="948" max="948" width="2.140625" style="35" customWidth="1"/>
    <col min="949" max="951" width="2" style="35" customWidth="1"/>
    <col min="952" max="952" width="2.42578125" style="35" customWidth="1"/>
    <col min="953" max="953" width="2" style="35" customWidth="1"/>
    <col min="954" max="955" width="2.42578125" style="35" bestFit="1" customWidth="1"/>
    <col min="956" max="959" width="2" style="35" customWidth="1"/>
    <col min="960" max="960" width="11.7109375" style="35" customWidth="1"/>
    <col min="961" max="961" width="12.140625" style="35" customWidth="1"/>
    <col min="962" max="962" width="12.85546875" style="35" customWidth="1"/>
    <col min="963" max="963" width="14" style="35" customWidth="1"/>
    <col min="964" max="964" width="10.5703125" style="35" customWidth="1"/>
    <col min="965" max="965" width="12.140625" style="35" customWidth="1"/>
    <col min="966" max="966" width="7.42578125" style="35" customWidth="1"/>
    <col min="967" max="967" width="16" style="35" customWidth="1"/>
    <col min="968" max="969" width="11.42578125" style="35"/>
    <col min="970" max="970" width="13.140625" style="35" bestFit="1" customWidth="1"/>
    <col min="971" max="1199" width="11.42578125" style="35"/>
    <col min="1200" max="1200" width="5.28515625" style="35" customWidth="1"/>
    <col min="1201" max="1201" width="26" style="35" customWidth="1"/>
    <col min="1202" max="1202" width="11.140625" style="35" customWidth="1"/>
    <col min="1203" max="1203" width="21.42578125" style="35" customWidth="1"/>
    <col min="1204" max="1204" width="2.140625" style="35" customWidth="1"/>
    <col min="1205" max="1207" width="2" style="35" customWidth="1"/>
    <col min="1208" max="1208" width="2.42578125" style="35" customWidth="1"/>
    <col min="1209" max="1209" width="2" style="35" customWidth="1"/>
    <col min="1210" max="1211" width="2.42578125" style="35" bestFit="1" customWidth="1"/>
    <col min="1212" max="1215" width="2" style="35" customWidth="1"/>
    <col min="1216" max="1216" width="11.7109375" style="35" customWidth="1"/>
    <col min="1217" max="1217" width="12.140625" style="35" customWidth="1"/>
    <col min="1218" max="1218" width="12.85546875" style="35" customWidth="1"/>
    <col min="1219" max="1219" width="14" style="35" customWidth="1"/>
    <col min="1220" max="1220" width="10.5703125" style="35" customWidth="1"/>
    <col min="1221" max="1221" width="12.140625" style="35" customWidth="1"/>
    <col min="1222" max="1222" width="7.42578125" style="35" customWidth="1"/>
    <col min="1223" max="1223" width="16" style="35" customWidth="1"/>
    <col min="1224" max="1225" width="11.42578125" style="35"/>
    <col min="1226" max="1226" width="13.140625" style="35" bestFit="1" customWidth="1"/>
    <col min="1227" max="1455" width="11.42578125" style="35"/>
    <col min="1456" max="1456" width="5.28515625" style="35" customWidth="1"/>
    <col min="1457" max="1457" width="26" style="35" customWidth="1"/>
    <col min="1458" max="1458" width="11.140625" style="35" customWidth="1"/>
    <col min="1459" max="1459" width="21.42578125" style="35" customWidth="1"/>
    <col min="1460" max="1460" width="2.140625" style="35" customWidth="1"/>
    <col min="1461" max="1463" width="2" style="35" customWidth="1"/>
    <col min="1464" max="1464" width="2.42578125" style="35" customWidth="1"/>
    <col min="1465" max="1465" width="2" style="35" customWidth="1"/>
    <col min="1466" max="1467" width="2.42578125" style="35" bestFit="1" customWidth="1"/>
    <col min="1468" max="1471" width="2" style="35" customWidth="1"/>
    <col min="1472" max="1472" width="11.7109375" style="35" customWidth="1"/>
    <col min="1473" max="1473" width="12.140625" style="35" customWidth="1"/>
    <col min="1474" max="1474" width="12.85546875" style="35" customWidth="1"/>
    <col min="1475" max="1475" width="14" style="35" customWidth="1"/>
    <col min="1476" max="1476" width="10.5703125" style="35" customWidth="1"/>
    <col min="1477" max="1477" width="12.140625" style="35" customWidth="1"/>
    <col min="1478" max="1478" width="7.42578125" style="35" customWidth="1"/>
    <col min="1479" max="1479" width="16" style="35" customWidth="1"/>
    <col min="1480" max="1481" width="11.42578125" style="35"/>
    <col min="1482" max="1482" width="13.140625" style="35" bestFit="1" customWidth="1"/>
    <col min="1483" max="1711" width="11.42578125" style="35"/>
    <col min="1712" max="1712" width="5.28515625" style="35" customWidth="1"/>
    <col min="1713" max="1713" width="26" style="35" customWidth="1"/>
    <col min="1714" max="1714" width="11.140625" style="35" customWidth="1"/>
    <col min="1715" max="1715" width="21.42578125" style="35" customWidth="1"/>
    <col min="1716" max="1716" width="2.140625" style="35" customWidth="1"/>
    <col min="1717" max="1719" width="2" style="35" customWidth="1"/>
    <col min="1720" max="1720" width="2.42578125" style="35" customWidth="1"/>
    <col min="1721" max="1721" width="2" style="35" customWidth="1"/>
    <col min="1722" max="1723" width="2.42578125" style="35" bestFit="1" customWidth="1"/>
    <col min="1724" max="1727" width="2" style="35" customWidth="1"/>
    <col min="1728" max="1728" width="11.7109375" style="35" customWidth="1"/>
    <col min="1729" max="1729" width="12.140625" style="35" customWidth="1"/>
    <col min="1730" max="1730" width="12.85546875" style="35" customWidth="1"/>
    <col min="1731" max="1731" width="14" style="35" customWidth="1"/>
    <col min="1732" max="1732" width="10.5703125" style="35" customWidth="1"/>
    <col min="1733" max="1733" width="12.140625" style="35" customWidth="1"/>
    <col min="1734" max="1734" width="7.42578125" style="35" customWidth="1"/>
    <col min="1735" max="1735" width="16" style="35" customWidth="1"/>
    <col min="1736" max="1737" width="11.42578125" style="35"/>
    <col min="1738" max="1738" width="13.140625" style="35" bestFit="1" customWidth="1"/>
    <col min="1739" max="1967" width="11.42578125" style="35"/>
    <col min="1968" max="1968" width="5.28515625" style="35" customWidth="1"/>
    <col min="1969" max="1969" width="26" style="35" customWidth="1"/>
    <col min="1970" max="1970" width="11.140625" style="35" customWidth="1"/>
    <col min="1971" max="1971" width="21.42578125" style="35" customWidth="1"/>
    <col min="1972" max="1972" width="2.140625" style="35" customWidth="1"/>
    <col min="1973" max="1975" width="2" style="35" customWidth="1"/>
    <col min="1976" max="1976" width="2.42578125" style="35" customWidth="1"/>
    <col min="1977" max="1977" width="2" style="35" customWidth="1"/>
    <col min="1978" max="1979" width="2.42578125" style="35" bestFit="1" customWidth="1"/>
    <col min="1980" max="1983" width="2" style="35" customWidth="1"/>
    <col min="1984" max="1984" width="11.7109375" style="35" customWidth="1"/>
    <col min="1985" max="1985" width="12.140625" style="35" customWidth="1"/>
    <col min="1986" max="1986" width="12.85546875" style="35" customWidth="1"/>
    <col min="1987" max="1987" width="14" style="35" customWidth="1"/>
    <col min="1988" max="1988" width="10.5703125" style="35" customWidth="1"/>
    <col min="1989" max="1989" width="12.140625" style="35" customWidth="1"/>
    <col min="1990" max="1990" width="7.42578125" style="35" customWidth="1"/>
    <col min="1991" max="1991" width="16" style="35" customWidth="1"/>
    <col min="1992" max="1993" width="11.42578125" style="35"/>
    <col min="1994" max="1994" width="13.140625" style="35" bestFit="1" customWidth="1"/>
    <col min="1995" max="2223" width="11.42578125" style="35"/>
    <col min="2224" max="2224" width="5.28515625" style="35" customWidth="1"/>
    <col min="2225" max="2225" width="26" style="35" customWidth="1"/>
    <col min="2226" max="2226" width="11.140625" style="35" customWidth="1"/>
    <col min="2227" max="2227" width="21.42578125" style="35" customWidth="1"/>
    <col min="2228" max="2228" width="2.140625" style="35" customWidth="1"/>
    <col min="2229" max="2231" width="2" style="35" customWidth="1"/>
    <col min="2232" max="2232" width="2.42578125" style="35" customWidth="1"/>
    <col min="2233" max="2233" width="2" style="35" customWidth="1"/>
    <col min="2234" max="2235" width="2.42578125" style="35" bestFit="1" customWidth="1"/>
    <col min="2236" max="2239" width="2" style="35" customWidth="1"/>
    <col min="2240" max="2240" width="11.7109375" style="35" customWidth="1"/>
    <col min="2241" max="2241" width="12.140625" style="35" customWidth="1"/>
    <col min="2242" max="2242" width="12.85546875" style="35" customWidth="1"/>
    <col min="2243" max="2243" width="14" style="35" customWidth="1"/>
    <col min="2244" max="2244" width="10.5703125" style="35" customWidth="1"/>
    <col min="2245" max="2245" width="12.140625" style="35" customWidth="1"/>
    <col min="2246" max="2246" width="7.42578125" style="35" customWidth="1"/>
    <col min="2247" max="2247" width="16" style="35" customWidth="1"/>
    <col min="2248" max="2249" width="11.42578125" style="35"/>
    <col min="2250" max="2250" width="13.140625" style="35" bestFit="1" customWidth="1"/>
    <col min="2251" max="2479" width="11.42578125" style="35"/>
    <col min="2480" max="2480" width="5.28515625" style="35" customWidth="1"/>
    <col min="2481" max="2481" width="26" style="35" customWidth="1"/>
    <col min="2482" max="2482" width="11.140625" style="35" customWidth="1"/>
    <col min="2483" max="2483" width="21.42578125" style="35" customWidth="1"/>
    <col min="2484" max="2484" width="2.140625" style="35" customWidth="1"/>
    <col min="2485" max="2487" width="2" style="35" customWidth="1"/>
    <col min="2488" max="2488" width="2.42578125" style="35" customWidth="1"/>
    <col min="2489" max="2489" width="2" style="35" customWidth="1"/>
    <col min="2490" max="2491" width="2.42578125" style="35" bestFit="1" customWidth="1"/>
    <col min="2492" max="2495" width="2" style="35" customWidth="1"/>
    <col min="2496" max="2496" width="11.7109375" style="35" customWidth="1"/>
    <col min="2497" max="2497" width="12.140625" style="35" customWidth="1"/>
    <col min="2498" max="2498" width="12.85546875" style="35" customWidth="1"/>
    <col min="2499" max="2499" width="14" style="35" customWidth="1"/>
    <col min="2500" max="2500" width="10.5703125" style="35" customWidth="1"/>
    <col min="2501" max="2501" width="12.140625" style="35" customWidth="1"/>
    <col min="2502" max="2502" width="7.42578125" style="35" customWidth="1"/>
    <col min="2503" max="2503" width="16" style="35" customWidth="1"/>
    <col min="2504" max="2505" width="11.42578125" style="35"/>
    <col min="2506" max="2506" width="13.140625" style="35" bestFit="1" customWidth="1"/>
    <col min="2507" max="2735" width="11.42578125" style="35"/>
    <col min="2736" max="2736" width="5.28515625" style="35" customWidth="1"/>
    <col min="2737" max="2737" width="26" style="35" customWidth="1"/>
    <col min="2738" max="2738" width="11.140625" style="35" customWidth="1"/>
    <col min="2739" max="2739" width="21.42578125" style="35" customWidth="1"/>
    <col min="2740" max="2740" width="2.140625" style="35" customWidth="1"/>
    <col min="2741" max="2743" width="2" style="35" customWidth="1"/>
    <col min="2744" max="2744" width="2.42578125" style="35" customWidth="1"/>
    <col min="2745" max="2745" width="2" style="35" customWidth="1"/>
    <col min="2746" max="2747" width="2.42578125" style="35" bestFit="1" customWidth="1"/>
    <col min="2748" max="2751" width="2" style="35" customWidth="1"/>
    <col min="2752" max="2752" width="11.7109375" style="35" customWidth="1"/>
    <col min="2753" max="2753" width="12.140625" style="35" customWidth="1"/>
    <col min="2754" max="2754" width="12.85546875" style="35" customWidth="1"/>
    <col min="2755" max="2755" width="14" style="35" customWidth="1"/>
    <col min="2756" max="2756" width="10.5703125" style="35" customWidth="1"/>
    <col min="2757" max="2757" width="12.140625" style="35" customWidth="1"/>
    <col min="2758" max="2758" width="7.42578125" style="35" customWidth="1"/>
    <col min="2759" max="2759" width="16" style="35" customWidth="1"/>
    <col min="2760" max="2761" width="11.42578125" style="35"/>
    <col min="2762" max="2762" width="13.140625" style="35" bestFit="1" customWidth="1"/>
    <col min="2763" max="2991" width="11.42578125" style="35"/>
    <col min="2992" max="2992" width="5.28515625" style="35" customWidth="1"/>
    <col min="2993" max="2993" width="26" style="35" customWidth="1"/>
    <col min="2994" max="2994" width="11.140625" style="35" customWidth="1"/>
    <col min="2995" max="2995" width="21.42578125" style="35" customWidth="1"/>
    <col min="2996" max="2996" width="2.140625" style="35" customWidth="1"/>
    <col min="2997" max="2999" width="2" style="35" customWidth="1"/>
    <col min="3000" max="3000" width="2.42578125" style="35" customWidth="1"/>
    <col min="3001" max="3001" width="2" style="35" customWidth="1"/>
    <col min="3002" max="3003" width="2.42578125" style="35" bestFit="1" customWidth="1"/>
    <col min="3004" max="3007" width="2" style="35" customWidth="1"/>
    <col min="3008" max="3008" width="11.7109375" style="35" customWidth="1"/>
    <col min="3009" max="3009" width="12.140625" style="35" customWidth="1"/>
    <col min="3010" max="3010" width="12.85546875" style="35" customWidth="1"/>
    <col min="3011" max="3011" width="14" style="35" customWidth="1"/>
    <col min="3012" max="3012" width="10.5703125" style="35" customWidth="1"/>
    <col min="3013" max="3013" width="12.140625" style="35" customWidth="1"/>
    <col min="3014" max="3014" width="7.42578125" style="35" customWidth="1"/>
    <col min="3015" max="3015" width="16" style="35" customWidth="1"/>
    <col min="3016" max="3017" width="11.42578125" style="35"/>
    <col min="3018" max="3018" width="13.140625" style="35" bestFit="1" customWidth="1"/>
    <col min="3019" max="3247" width="11.42578125" style="35"/>
    <col min="3248" max="3248" width="5.28515625" style="35" customWidth="1"/>
    <col min="3249" max="3249" width="26" style="35" customWidth="1"/>
    <col min="3250" max="3250" width="11.140625" style="35" customWidth="1"/>
    <col min="3251" max="3251" width="21.42578125" style="35" customWidth="1"/>
    <col min="3252" max="3252" width="2.140625" style="35" customWidth="1"/>
    <col min="3253" max="3255" width="2" style="35" customWidth="1"/>
    <col min="3256" max="3256" width="2.42578125" style="35" customWidth="1"/>
    <col min="3257" max="3257" width="2" style="35" customWidth="1"/>
    <col min="3258" max="3259" width="2.42578125" style="35" bestFit="1" customWidth="1"/>
    <col min="3260" max="3263" width="2" style="35" customWidth="1"/>
    <col min="3264" max="3264" width="11.7109375" style="35" customWidth="1"/>
    <col min="3265" max="3265" width="12.140625" style="35" customWidth="1"/>
    <col min="3266" max="3266" width="12.85546875" style="35" customWidth="1"/>
    <col min="3267" max="3267" width="14" style="35" customWidth="1"/>
    <col min="3268" max="3268" width="10.5703125" style="35" customWidth="1"/>
    <col min="3269" max="3269" width="12.140625" style="35" customWidth="1"/>
    <col min="3270" max="3270" width="7.42578125" style="35" customWidth="1"/>
    <col min="3271" max="3271" width="16" style="35" customWidth="1"/>
    <col min="3272" max="3273" width="11.42578125" style="35"/>
    <col min="3274" max="3274" width="13.140625" style="35" bestFit="1" customWidth="1"/>
    <col min="3275" max="3503" width="11.42578125" style="35"/>
    <col min="3504" max="3504" width="5.28515625" style="35" customWidth="1"/>
    <col min="3505" max="3505" width="26" style="35" customWidth="1"/>
    <col min="3506" max="3506" width="11.140625" style="35" customWidth="1"/>
    <col min="3507" max="3507" width="21.42578125" style="35" customWidth="1"/>
    <col min="3508" max="3508" width="2.140625" style="35" customWidth="1"/>
    <col min="3509" max="3511" width="2" style="35" customWidth="1"/>
    <col min="3512" max="3512" width="2.42578125" style="35" customWidth="1"/>
    <col min="3513" max="3513" width="2" style="35" customWidth="1"/>
    <col min="3514" max="3515" width="2.42578125" style="35" bestFit="1" customWidth="1"/>
    <col min="3516" max="3519" width="2" style="35" customWidth="1"/>
    <col min="3520" max="3520" width="11.7109375" style="35" customWidth="1"/>
    <col min="3521" max="3521" width="12.140625" style="35" customWidth="1"/>
    <col min="3522" max="3522" width="12.85546875" style="35" customWidth="1"/>
    <col min="3523" max="3523" width="14" style="35" customWidth="1"/>
    <col min="3524" max="3524" width="10.5703125" style="35" customWidth="1"/>
    <col min="3525" max="3525" width="12.140625" style="35" customWidth="1"/>
    <col min="3526" max="3526" width="7.42578125" style="35" customWidth="1"/>
    <col min="3527" max="3527" width="16" style="35" customWidth="1"/>
    <col min="3528" max="3529" width="11.42578125" style="35"/>
    <col min="3530" max="3530" width="13.140625" style="35" bestFit="1" customWidth="1"/>
    <col min="3531" max="3759" width="11.42578125" style="35"/>
    <col min="3760" max="3760" width="5.28515625" style="35" customWidth="1"/>
    <col min="3761" max="3761" width="26" style="35" customWidth="1"/>
    <col min="3762" max="3762" width="11.140625" style="35" customWidth="1"/>
    <col min="3763" max="3763" width="21.42578125" style="35" customWidth="1"/>
    <col min="3764" max="3764" width="2.140625" style="35" customWidth="1"/>
    <col min="3765" max="3767" width="2" style="35" customWidth="1"/>
    <col min="3768" max="3768" width="2.42578125" style="35" customWidth="1"/>
    <col min="3769" max="3769" width="2" style="35" customWidth="1"/>
    <col min="3770" max="3771" width="2.42578125" style="35" bestFit="1" customWidth="1"/>
    <col min="3772" max="3775" width="2" style="35" customWidth="1"/>
    <col min="3776" max="3776" width="11.7109375" style="35" customWidth="1"/>
    <col min="3777" max="3777" width="12.140625" style="35" customWidth="1"/>
    <col min="3778" max="3778" width="12.85546875" style="35" customWidth="1"/>
    <col min="3779" max="3779" width="14" style="35" customWidth="1"/>
    <col min="3780" max="3780" width="10.5703125" style="35" customWidth="1"/>
    <col min="3781" max="3781" width="12.140625" style="35" customWidth="1"/>
    <col min="3782" max="3782" width="7.42578125" style="35" customWidth="1"/>
    <col min="3783" max="3783" width="16" style="35" customWidth="1"/>
    <col min="3784" max="3785" width="11.42578125" style="35"/>
    <col min="3786" max="3786" width="13.140625" style="35" bestFit="1" customWidth="1"/>
    <col min="3787" max="4015" width="11.42578125" style="35"/>
    <col min="4016" max="4016" width="5.28515625" style="35" customWidth="1"/>
    <col min="4017" max="4017" width="26" style="35" customWidth="1"/>
    <col min="4018" max="4018" width="11.140625" style="35" customWidth="1"/>
    <col min="4019" max="4019" width="21.42578125" style="35" customWidth="1"/>
    <col min="4020" max="4020" width="2.140625" style="35" customWidth="1"/>
    <col min="4021" max="4023" width="2" style="35" customWidth="1"/>
    <col min="4024" max="4024" width="2.42578125" style="35" customWidth="1"/>
    <col min="4025" max="4025" width="2" style="35" customWidth="1"/>
    <col min="4026" max="4027" width="2.42578125" style="35" bestFit="1" customWidth="1"/>
    <col min="4028" max="4031" width="2" style="35" customWidth="1"/>
    <col min="4032" max="4032" width="11.7109375" style="35" customWidth="1"/>
    <col min="4033" max="4033" width="12.140625" style="35" customWidth="1"/>
    <col min="4034" max="4034" width="12.85546875" style="35" customWidth="1"/>
    <col min="4035" max="4035" width="14" style="35" customWidth="1"/>
    <col min="4036" max="4036" width="10.5703125" style="35" customWidth="1"/>
    <col min="4037" max="4037" width="12.140625" style="35" customWidth="1"/>
    <col min="4038" max="4038" width="7.42578125" style="35" customWidth="1"/>
    <col min="4039" max="4039" width="16" style="35" customWidth="1"/>
    <col min="4040" max="4041" width="11.42578125" style="35"/>
    <col min="4042" max="4042" width="13.140625" style="35" bestFit="1" customWidth="1"/>
    <col min="4043" max="4271" width="11.42578125" style="35"/>
    <col min="4272" max="4272" width="5.28515625" style="35" customWidth="1"/>
    <col min="4273" max="4273" width="26" style="35" customWidth="1"/>
    <col min="4274" max="4274" width="11.140625" style="35" customWidth="1"/>
    <col min="4275" max="4275" width="21.42578125" style="35" customWidth="1"/>
    <col min="4276" max="4276" width="2.140625" style="35" customWidth="1"/>
    <col min="4277" max="4279" width="2" style="35" customWidth="1"/>
    <col min="4280" max="4280" width="2.42578125" style="35" customWidth="1"/>
    <col min="4281" max="4281" width="2" style="35" customWidth="1"/>
    <col min="4282" max="4283" width="2.42578125" style="35" bestFit="1" customWidth="1"/>
    <col min="4284" max="4287" width="2" style="35" customWidth="1"/>
    <col min="4288" max="4288" width="11.7109375" style="35" customWidth="1"/>
    <col min="4289" max="4289" width="12.140625" style="35" customWidth="1"/>
    <col min="4290" max="4290" width="12.85546875" style="35" customWidth="1"/>
    <col min="4291" max="4291" width="14" style="35" customWidth="1"/>
    <col min="4292" max="4292" width="10.5703125" style="35" customWidth="1"/>
    <col min="4293" max="4293" width="12.140625" style="35" customWidth="1"/>
    <col min="4294" max="4294" width="7.42578125" style="35" customWidth="1"/>
    <col min="4295" max="4295" width="16" style="35" customWidth="1"/>
    <col min="4296" max="4297" width="11.42578125" style="35"/>
    <col min="4298" max="4298" width="13.140625" style="35" bestFit="1" customWidth="1"/>
    <col min="4299" max="4527" width="11.42578125" style="35"/>
    <col min="4528" max="4528" width="5.28515625" style="35" customWidth="1"/>
    <col min="4529" max="4529" width="26" style="35" customWidth="1"/>
    <col min="4530" max="4530" width="11.140625" style="35" customWidth="1"/>
    <col min="4531" max="4531" width="21.42578125" style="35" customWidth="1"/>
    <col min="4532" max="4532" width="2.140625" style="35" customWidth="1"/>
    <col min="4533" max="4535" width="2" style="35" customWidth="1"/>
    <col min="4536" max="4536" width="2.42578125" style="35" customWidth="1"/>
    <col min="4537" max="4537" width="2" style="35" customWidth="1"/>
    <col min="4538" max="4539" width="2.42578125" style="35" bestFit="1" customWidth="1"/>
    <col min="4540" max="4543" width="2" style="35" customWidth="1"/>
    <col min="4544" max="4544" width="11.7109375" style="35" customWidth="1"/>
    <col min="4545" max="4545" width="12.140625" style="35" customWidth="1"/>
    <col min="4546" max="4546" width="12.85546875" style="35" customWidth="1"/>
    <col min="4547" max="4547" width="14" style="35" customWidth="1"/>
    <col min="4548" max="4548" width="10.5703125" style="35" customWidth="1"/>
    <col min="4549" max="4549" width="12.140625" style="35" customWidth="1"/>
    <col min="4550" max="4550" width="7.42578125" style="35" customWidth="1"/>
    <col min="4551" max="4551" width="16" style="35" customWidth="1"/>
    <col min="4552" max="4553" width="11.42578125" style="35"/>
    <col min="4554" max="4554" width="13.140625" style="35" bestFit="1" customWidth="1"/>
    <col min="4555" max="4783" width="11.42578125" style="35"/>
    <col min="4784" max="4784" width="5.28515625" style="35" customWidth="1"/>
    <col min="4785" max="4785" width="26" style="35" customWidth="1"/>
    <col min="4786" max="4786" width="11.140625" style="35" customWidth="1"/>
    <col min="4787" max="4787" width="21.42578125" style="35" customWidth="1"/>
    <col min="4788" max="4788" width="2.140625" style="35" customWidth="1"/>
    <col min="4789" max="4791" width="2" style="35" customWidth="1"/>
    <col min="4792" max="4792" width="2.42578125" style="35" customWidth="1"/>
    <col min="4793" max="4793" width="2" style="35" customWidth="1"/>
    <col min="4794" max="4795" width="2.42578125" style="35" bestFit="1" customWidth="1"/>
    <col min="4796" max="4799" width="2" style="35" customWidth="1"/>
    <col min="4800" max="4800" width="11.7109375" style="35" customWidth="1"/>
    <col min="4801" max="4801" width="12.140625" style="35" customWidth="1"/>
    <col min="4802" max="4802" width="12.85546875" style="35" customWidth="1"/>
    <col min="4803" max="4803" width="14" style="35" customWidth="1"/>
    <col min="4804" max="4804" width="10.5703125" style="35" customWidth="1"/>
    <col min="4805" max="4805" width="12.140625" style="35" customWidth="1"/>
    <col min="4806" max="4806" width="7.42578125" style="35" customWidth="1"/>
    <col min="4807" max="4807" width="16" style="35" customWidth="1"/>
    <col min="4808" max="4809" width="11.42578125" style="35"/>
    <col min="4810" max="4810" width="13.140625" style="35" bestFit="1" customWidth="1"/>
    <col min="4811" max="5039" width="11.42578125" style="35"/>
    <col min="5040" max="5040" width="5.28515625" style="35" customWidth="1"/>
    <col min="5041" max="5041" width="26" style="35" customWidth="1"/>
    <col min="5042" max="5042" width="11.140625" style="35" customWidth="1"/>
    <col min="5043" max="5043" width="21.42578125" style="35" customWidth="1"/>
    <col min="5044" max="5044" width="2.140625" style="35" customWidth="1"/>
    <col min="5045" max="5047" width="2" style="35" customWidth="1"/>
    <col min="5048" max="5048" width="2.42578125" style="35" customWidth="1"/>
    <col min="5049" max="5049" width="2" style="35" customWidth="1"/>
    <col min="5050" max="5051" width="2.42578125" style="35" bestFit="1" customWidth="1"/>
    <col min="5052" max="5055" width="2" style="35" customWidth="1"/>
    <col min="5056" max="5056" width="11.7109375" style="35" customWidth="1"/>
    <col min="5057" max="5057" width="12.140625" style="35" customWidth="1"/>
    <col min="5058" max="5058" width="12.85546875" style="35" customWidth="1"/>
    <col min="5059" max="5059" width="14" style="35" customWidth="1"/>
    <col min="5060" max="5060" width="10.5703125" style="35" customWidth="1"/>
    <col min="5061" max="5061" width="12.140625" style="35" customWidth="1"/>
    <col min="5062" max="5062" width="7.42578125" style="35" customWidth="1"/>
    <col min="5063" max="5063" width="16" style="35" customWidth="1"/>
    <col min="5064" max="5065" width="11.42578125" style="35"/>
    <col min="5066" max="5066" width="13.140625" style="35" bestFit="1" customWidth="1"/>
    <col min="5067" max="5295" width="11.42578125" style="35"/>
    <col min="5296" max="5296" width="5.28515625" style="35" customWidth="1"/>
    <col min="5297" max="5297" width="26" style="35" customWidth="1"/>
    <col min="5298" max="5298" width="11.140625" style="35" customWidth="1"/>
    <col min="5299" max="5299" width="21.42578125" style="35" customWidth="1"/>
    <col min="5300" max="5300" width="2.140625" style="35" customWidth="1"/>
    <col min="5301" max="5303" width="2" style="35" customWidth="1"/>
    <col min="5304" max="5304" width="2.42578125" style="35" customWidth="1"/>
    <col min="5305" max="5305" width="2" style="35" customWidth="1"/>
    <col min="5306" max="5307" width="2.42578125" style="35" bestFit="1" customWidth="1"/>
    <col min="5308" max="5311" width="2" style="35" customWidth="1"/>
    <col min="5312" max="5312" width="11.7109375" style="35" customWidth="1"/>
    <col min="5313" max="5313" width="12.140625" style="35" customWidth="1"/>
    <col min="5314" max="5314" width="12.85546875" style="35" customWidth="1"/>
    <col min="5315" max="5315" width="14" style="35" customWidth="1"/>
    <col min="5316" max="5316" width="10.5703125" style="35" customWidth="1"/>
    <col min="5317" max="5317" width="12.140625" style="35" customWidth="1"/>
    <col min="5318" max="5318" width="7.42578125" style="35" customWidth="1"/>
    <col min="5319" max="5319" width="16" style="35" customWidth="1"/>
    <col min="5320" max="5321" width="11.42578125" style="35"/>
    <col min="5322" max="5322" width="13.140625" style="35" bestFit="1" customWidth="1"/>
    <col min="5323" max="5551" width="11.42578125" style="35"/>
    <col min="5552" max="5552" width="5.28515625" style="35" customWidth="1"/>
    <col min="5553" max="5553" width="26" style="35" customWidth="1"/>
    <col min="5554" max="5554" width="11.140625" style="35" customWidth="1"/>
    <col min="5555" max="5555" width="21.42578125" style="35" customWidth="1"/>
    <col min="5556" max="5556" width="2.140625" style="35" customWidth="1"/>
    <col min="5557" max="5559" width="2" style="35" customWidth="1"/>
    <col min="5560" max="5560" width="2.42578125" style="35" customWidth="1"/>
    <col min="5561" max="5561" width="2" style="35" customWidth="1"/>
    <col min="5562" max="5563" width="2.42578125" style="35" bestFit="1" customWidth="1"/>
    <col min="5564" max="5567" width="2" style="35" customWidth="1"/>
    <col min="5568" max="5568" width="11.7109375" style="35" customWidth="1"/>
    <col min="5569" max="5569" width="12.140625" style="35" customWidth="1"/>
    <col min="5570" max="5570" width="12.85546875" style="35" customWidth="1"/>
    <col min="5571" max="5571" width="14" style="35" customWidth="1"/>
    <col min="5572" max="5572" width="10.5703125" style="35" customWidth="1"/>
    <col min="5573" max="5573" width="12.140625" style="35" customWidth="1"/>
    <col min="5574" max="5574" width="7.42578125" style="35" customWidth="1"/>
    <col min="5575" max="5575" width="16" style="35" customWidth="1"/>
    <col min="5576" max="5577" width="11.42578125" style="35"/>
    <col min="5578" max="5578" width="13.140625" style="35" bestFit="1" customWidth="1"/>
    <col min="5579" max="5807" width="11.42578125" style="35"/>
    <col min="5808" max="5808" width="5.28515625" style="35" customWidth="1"/>
    <col min="5809" max="5809" width="26" style="35" customWidth="1"/>
    <col min="5810" max="5810" width="11.140625" style="35" customWidth="1"/>
    <col min="5811" max="5811" width="21.42578125" style="35" customWidth="1"/>
    <col min="5812" max="5812" width="2.140625" style="35" customWidth="1"/>
    <col min="5813" max="5815" width="2" style="35" customWidth="1"/>
    <col min="5816" max="5816" width="2.42578125" style="35" customWidth="1"/>
    <col min="5817" max="5817" width="2" style="35" customWidth="1"/>
    <col min="5818" max="5819" width="2.42578125" style="35" bestFit="1" customWidth="1"/>
    <col min="5820" max="5823" width="2" style="35" customWidth="1"/>
    <col min="5824" max="5824" width="11.7109375" style="35" customWidth="1"/>
    <col min="5825" max="5825" width="12.140625" style="35" customWidth="1"/>
    <col min="5826" max="5826" width="12.85546875" style="35" customWidth="1"/>
    <col min="5827" max="5827" width="14" style="35" customWidth="1"/>
    <col min="5828" max="5828" width="10.5703125" style="35" customWidth="1"/>
    <col min="5829" max="5829" width="12.140625" style="35" customWidth="1"/>
    <col min="5830" max="5830" width="7.42578125" style="35" customWidth="1"/>
    <col min="5831" max="5831" width="16" style="35" customWidth="1"/>
    <col min="5832" max="5833" width="11.42578125" style="35"/>
    <col min="5834" max="5834" width="13.140625" style="35" bestFit="1" customWidth="1"/>
    <col min="5835" max="6063" width="11.42578125" style="35"/>
    <col min="6064" max="6064" width="5.28515625" style="35" customWidth="1"/>
    <col min="6065" max="6065" width="26" style="35" customWidth="1"/>
    <col min="6066" max="6066" width="11.140625" style="35" customWidth="1"/>
    <col min="6067" max="6067" width="21.42578125" style="35" customWidth="1"/>
    <col min="6068" max="6068" width="2.140625" style="35" customWidth="1"/>
    <col min="6069" max="6071" width="2" style="35" customWidth="1"/>
    <col min="6072" max="6072" width="2.42578125" style="35" customWidth="1"/>
    <col min="6073" max="6073" width="2" style="35" customWidth="1"/>
    <col min="6074" max="6075" width="2.42578125" style="35" bestFit="1" customWidth="1"/>
    <col min="6076" max="6079" width="2" style="35" customWidth="1"/>
    <col min="6080" max="6080" width="11.7109375" style="35" customWidth="1"/>
    <col min="6081" max="6081" width="12.140625" style="35" customWidth="1"/>
    <col min="6082" max="6082" width="12.85546875" style="35" customWidth="1"/>
    <col min="6083" max="6083" width="14" style="35" customWidth="1"/>
    <col min="6084" max="6084" width="10.5703125" style="35" customWidth="1"/>
    <col min="6085" max="6085" width="12.140625" style="35" customWidth="1"/>
    <col min="6086" max="6086" width="7.42578125" style="35" customWidth="1"/>
    <col min="6087" max="6087" width="16" style="35" customWidth="1"/>
    <col min="6088" max="6089" width="11.42578125" style="35"/>
    <col min="6090" max="6090" width="13.140625" style="35" bestFit="1" customWidth="1"/>
    <col min="6091" max="6319" width="11.42578125" style="35"/>
    <col min="6320" max="6320" width="5.28515625" style="35" customWidth="1"/>
    <col min="6321" max="6321" width="26" style="35" customWidth="1"/>
    <col min="6322" max="6322" width="11.140625" style="35" customWidth="1"/>
    <col min="6323" max="6323" width="21.42578125" style="35" customWidth="1"/>
    <col min="6324" max="6324" width="2.140625" style="35" customWidth="1"/>
    <col min="6325" max="6327" width="2" style="35" customWidth="1"/>
    <col min="6328" max="6328" width="2.42578125" style="35" customWidth="1"/>
    <col min="6329" max="6329" width="2" style="35" customWidth="1"/>
    <col min="6330" max="6331" width="2.42578125" style="35" bestFit="1" customWidth="1"/>
    <col min="6332" max="6335" width="2" style="35" customWidth="1"/>
    <col min="6336" max="6336" width="11.7109375" style="35" customWidth="1"/>
    <col min="6337" max="6337" width="12.140625" style="35" customWidth="1"/>
    <col min="6338" max="6338" width="12.85546875" style="35" customWidth="1"/>
    <col min="6339" max="6339" width="14" style="35" customWidth="1"/>
    <col min="6340" max="6340" width="10.5703125" style="35" customWidth="1"/>
    <col min="6341" max="6341" width="12.140625" style="35" customWidth="1"/>
    <col min="6342" max="6342" width="7.42578125" style="35" customWidth="1"/>
    <col min="6343" max="6343" width="16" style="35" customWidth="1"/>
    <col min="6344" max="6345" width="11.42578125" style="35"/>
    <col min="6346" max="6346" width="13.140625" style="35" bestFit="1" customWidth="1"/>
    <col min="6347" max="6575" width="11.42578125" style="35"/>
    <col min="6576" max="6576" width="5.28515625" style="35" customWidth="1"/>
    <col min="6577" max="6577" width="26" style="35" customWidth="1"/>
    <col min="6578" max="6578" width="11.140625" style="35" customWidth="1"/>
    <col min="6579" max="6579" width="21.42578125" style="35" customWidth="1"/>
    <col min="6580" max="6580" width="2.140625" style="35" customWidth="1"/>
    <col min="6581" max="6583" width="2" style="35" customWidth="1"/>
    <col min="6584" max="6584" width="2.42578125" style="35" customWidth="1"/>
    <col min="6585" max="6585" width="2" style="35" customWidth="1"/>
    <col min="6586" max="6587" width="2.42578125" style="35" bestFit="1" customWidth="1"/>
    <col min="6588" max="6591" width="2" style="35" customWidth="1"/>
    <col min="6592" max="6592" width="11.7109375" style="35" customWidth="1"/>
    <col min="6593" max="6593" width="12.140625" style="35" customWidth="1"/>
    <col min="6594" max="6594" width="12.85546875" style="35" customWidth="1"/>
    <col min="6595" max="6595" width="14" style="35" customWidth="1"/>
    <col min="6596" max="6596" width="10.5703125" style="35" customWidth="1"/>
    <col min="6597" max="6597" width="12.140625" style="35" customWidth="1"/>
    <col min="6598" max="6598" width="7.42578125" style="35" customWidth="1"/>
    <col min="6599" max="6599" width="16" style="35" customWidth="1"/>
    <col min="6600" max="6601" width="11.42578125" style="35"/>
    <col min="6602" max="6602" width="13.140625" style="35" bestFit="1" customWidth="1"/>
    <col min="6603" max="6831" width="11.42578125" style="35"/>
    <col min="6832" max="6832" width="5.28515625" style="35" customWidth="1"/>
    <col min="6833" max="6833" width="26" style="35" customWidth="1"/>
    <col min="6834" max="6834" width="11.140625" style="35" customWidth="1"/>
    <col min="6835" max="6835" width="21.42578125" style="35" customWidth="1"/>
    <col min="6836" max="6836" width="2.140625" style="35" customWidth="1"/>
    <col min="6837" max="6839" width="2" style="35" customWidth="1"/>
    <col min="6840" max="6840" width="2.42578125" style="35" customWidth="1"/>
    <col min="6841" max="6841" width="2" style="35" customWidth="1"/>
    <col min="6842" max="6843" width="2.42578125" style="35" bestFit="1" customWidth="1"/>
    <col min="6844" max="6847" width="2" style="35" customWidth="1"/>
    <col min="6848" max="6848" width="11.7109375" style="35" customWidth="1"/>
    <col min="6849" max="6849" width="12.140625" style="35" customWidth="1"/>
    <col min="6850" max="6850" width="12.85546875" style="35" customWidth="1"/>
    <col min="6851" max="6851" width="14" style="35" customWidth="1"/>
    <col min="6852" max="6852" width="10.5703125" style="35" customWidth="1"/>
    <col min="6853" max="6853" width="12.140625" style="35" customWidth="1"/>
    <col min="6854" max="6854" width="7.42578125" style="35" customWidth="1"/>
    <col min="6855" max="6855" width="16" style="35" customWidth="1"/>
    <col min="6856" max="6857" width="11.42578125" style="35"/>
    <col min="6858" max="6858" width="13.140625" style="35" bestFit="1" customWidth="1"/>
    <col min="6859" max="7087" width="11.42578125" style="35"/>
    <col min="7088" max="7088" width="5.28515625" style="35" customWidth="1"/>
    <col min="7089" max="7089" width="26" style="35" customWidth="1"/>
    <col min="7090" max="7090" width="11.140625" style="35" customWidth="1"/>
    <col min="7091" max="7091" width="21.42578125" style="35" customWidth="1"/>
    <col min="7092" max="7092" width="2.140625" style="35" customWidth="1"/>
    <col min="7093" max="7095" width="2" style="35" customWidth="1"/>
    <col min="7096" max="7096" width="2.42578125" style="35" customWidth="1"/>
    <col min="7097" max="7097" width="2" style="35" customWidth="1"/>
    <col min="7098" max="7099" width="2.42578125" style="35" bestFit="1" customWidth="1"/>
    <col min="7100" max="7103" width="2" style="35" customWidth="1"/>
    <col min="7104" max="7104" width="11.7109375" style="35" customWidth="1"/>
    <col min="7105" max="7105" width="12.140625" style="35" customWidth="1"/>
    <col min="7106" max="7106" width="12.85546875" style="35" customWidth="1"/>
    <col min="7107" max="7107" width="14" style="35" customWidth="1"/>
    <col min="7108" max="7108" width="10.5703125" style="35" customWidth="1"/>
    <col min="7109" max="7109" width="12.140625" style="35" customWidth="1"/>
    <col min="7110" max="7110" width="7.42578125" style="35" customWidth="1"/>
    <col min="7111" max="7111" width="16" style="35" customWidth="1"/>
    <col min="7112" max="7113" width="11.42578125" style="35"/>
    <col min="7114" max="7114" width="13.140625" style="35" bestFit="1" customWidth="1"/>
    <col min="7115" max="7343" width="11.42578125" style="35"/>
    <col min="7344" max="7344" width="5.28515625" style="35" customWidth="1"/>
    <col min="7345" max="7345" width="26" style="35" customWidth="1"/>
    <col min="7346" max="7346" width="11.140625" style="35" customWidth="1"/>
    <col min="7347" max="7347" width="21.42578125" style="35" customWidth="1"/>
    <col min="7348" max="7348" width="2.140625" style="35" customWidth="1"/>
    <col min="7349" max="7351" width="2" style="35" customWidth="1"/>
    <col min="7352" max="7352" width="2.42578125" style="35" customWidth="1"/>
    <col min="7353" max="7353" width="2" style="35" customWidth="1"/>
    <col min="7354" max="7355" width="2.42578125" style="35" bestFit="1" customWidth="1"/>
    <col min="7356" max="7359" width="2" style="35" customWidth="1"/>
    <col min="7360" max="7360" width="11.7109375" style="35" customWidth="1"/>
    <col min="7361" max="7361" width="12.140625" style="35" customWidth="1"/>
    <col min="7362" max="7362" width="12.85546875" style="35" customWidth="1"/>
    <col min="7363" max="7363" width="14" style="35" customWidth="1"/>
    <col min="7364" max="7364" width="10.5703125" style="35" customWidth="1"/>
    <col min="7365" max="7365" width="12.140625" style="35" customWidth="1"/>
    <col min="7366" max="7366" width="7.42578125" style="35" customWidth="1"/>
    <col min="7367" max="7367" width="16" style="35" customWidth="1"/>
    <col min="7368" max="7369" width="11.42578125" style="35"/>
    <col min="7370" max="7370" width="13.140625" style="35" bestFit="1" customWidth="1"/>
    <col min="7371" max="7599" width="11.42578125" style="35"/>
    <col min="7600" max="7600" width="5.28515625" style="35" customWidth="1"/>
    <col min="7601" max="7601" width="26" style="35" customWidth="1"/>
    <col min="7602" max="7602" width="11.140625" style="35" customWidth="1"/>
    <col min="7603" max="7603" width="21.42578125" style="35" customWidth="1"/>
    <col min="7604" max="7604" width="2.140625" style="35" customWidth="1"/>
    <col min="7605" max="7607" width="2" style="35" customWidth="1"/>
    <col min="7608" max="7608" width="2.42578125" style="35" customWidth="1"/>
    <col min="7609" max="7609" width="2" style="35" customWidth="1"/>
    <col min="7610" max="7611" width="2.42578125" style="35" bestFit="1" customWidth="1"/>
    <col min="7612" max="7615" width="2" style="35" customWidth="1"/>
    <col min="7616" max="7616" width="11.7109375" style="35" customWidth="1"/>
    <col min="7617" max="7617" width="12.140625" style="35" customWidth="1"/>
    <col min="7618" max="7618" width="12.85546875" style="35" customWidth="1"/>
    <col min="7619" max="7619" width="14" style="35" customWidth="1"/>
    <col min="7620" max="7620" width="10.5703125" style="35" customWidth="1"/>
    <col min="7621" max="7621" width="12.140625" style="35" customWidth="1"/>
    <col min="7622" max="7622" width="7.42578125" style="35" customWidth="1"/>
    <col min="7623" max="7623" width="16" style="35" customWidth="1"/>
    <col min="7624" max="7625" width="11.42578125" style="35"/>
    <col min="7626" max="7626" width="13.140625" style="35" bestFit="1" customWidth="1"/>
    <col min="7627" max="7855" width="11.42578125" style="35"/>
    <col min="7856" max="7856" width="5.28515625" style="35" customWidth="1"/>
    <col min="7857" max="7857" width="26" style="35" customWidth="1"/>
    <col min="7858" max="7858" width="11.140625" style="35" customWidth="1"/>
    <col min="7859" max="7859" width="21.42578125" style="35" customWidth="1"/>
    <col min="7860" max="7860" width="2.140625" style="35" customWidth="1"/>
    <col min="7861" max="7863" width="2" style="35" customWidth="1"/>
    <col min="7864" max="7864" width="2.42578125" style="35" customWidth="1"/>
    <col min="7865" max="7865" width="2" style="35" customWidth="1"/>
    <col min="7866" max="7867" width="2.42578125" style="35" bestFit="1" customWidth="1"/>
    <col min="7868" max="7871" width="2" style="35" customWidth="1"/>
    <col min="7872" max="7872" width="11.7109375" style="35" customWidth="1"/>
    <col min="7873" max="7873" width="12.140625" style="35" customWidth="1"/>
    <col min="7874" max="7874" width="12.85546875" style="35" customWidth="1"/>
    <col min="7875" max="7875" width="14" style="35" customWidth="1"/>
    <col min="7876" max="7876" width="10.5703125" style="35" customWidth="1"/>
    <col min="7877" max="7877" width="12.140625" style="35" customWidth="1"/>
    <col min="7878" max="7878" width="7.42578125" style="35" customWidth="1"/>
    <col min="7879" max="7879" width="16" style="35" customWidth="1"/>
    <col min="7880" max="7881" width="11.42578125" style="35"/>
    <col min="7882" max="7882" width="13.140625" style="35" bestFit="1" customWidth="1"/>
    <col min="7883" max="8111" width="11.42578125" style="35"/>
    <col min="8112" max="8112" width="5.28515625" style="35" customWidth="1"/>
    <col min="8113" max="8113" width="26" style="35" customWidth="1"/>
    <col min="8114" max="8114" width="11.140625" style="35" customWidth="1"/>
    <col min="8115" max="8115" width="21.42578125" style="35" customWidth="1"/>
    <col min="8116" max="8116" width="2.140625" style="35" customWidth="1"/>
    <col min="8117" max="8119" width="2" style="35" customWidth="1"/>
    <col min="8120" max="8120" width="2.42578125" style="35" customWidth="1"/>
    <col min="8121" max="8121" width="2" style="35" customWidth="1"/>
    <col min="8122" max="8123" width="2.42578125" style="35" bestFit="1" customWidth="1"/>
    <col min="8124" max="8127" width="2" style="35" customWidth="1"/>
    <col min="8128" max="8128" width="11.7109375" style="35" customWidth="1"/>
    <col min="8129" max="8129" width="12.140625" style="35" customWidth="1"/>
    <col min="8130" max="8130" width="12.85546875" style="35" customWidth="1"/>
    <col min="8131" max="8131" width="14" style="35" customWidth="1"/>
    <col min="8132" max="8132" width="10.5703125" style="35" customWidth="1"/>
    <col min="8133" max="8133" width="12.140625" style="35" customWidth="1"/>
    <col min="8134" max="8134" width="7.42578125" style="35" customWidth="1"/>
    <col min="8135" max="8135" width="16" style="35" customWidth="1"/>
    <col min="8136" max="8137" width="11.42578125" style="35"/>
    <col min="8138" max="8138" width="13.140625" style="35" bestFit="1" customWidth="1"/>
    <col min="8139" max="8367" width="11.42578125" style="35"/>
    <col min="8368" max="8368" width="5.28515625" style="35" customWidth="1"/>
    <col min="8369" max="8369" width="26" style="35" customWidth="1"/>
    <col min="8370" max="8370" width="11.140625" style="35" customWidth="1"/>
    <col min="8371" max="8371" width="21.42578125" style="35" customWidth="1"/>
    <col min="8372" max="8372" width="2.140625" style="35" customWidth="1"/>
    <col min="8373" max="8375" width="2" style="35" customWidth="1"/>
    <col min="8376" max="8376" width="2.42578125" style="35" customWidth="1"/>
    <col min="8377" max="8377" width="2" style="35" customWidth="1"/>
    <col min="8378" max="8379" width="2.42578125" style="35" bestFit="1" customWidth="1"/>
    <col min="8380" max="8383" width="2" style="35" customWidth="1"/>
    <col min="8384" max="8384" width="11.7109375" style="35" customWidth="1"/>
    <col min="8385" max="8385" width="12.140625" style="35" customWidth="1"/>
    <col min="8386" max="8386" width="12.85546875" style="35" customWidth="1"/>
    <col min="8387" max="8387" width="14" style="35" customWidth="1"/>
    <col min="8388" max="8388" width="10.5703125" style="35" customWidth="1"/>
    <col min="8389" max="8389" width="12.140625" style="35" customWidth="1"/>
    <col min="8390" max="8390" width="7.42578125" style="35" customWidth="1"/>
    <col min="8391" max="8391" width="16" style="35" customWidth="1"/>
    <col min="8392" max="8393" width="11.42578125" style="35"/>
    <col min="8394" max="8394" width="13.140625" style="35" bestFit="1" customWidth="1"/>
    <col min="8395" max="8623" width="11.42578125" style="35"/>
    <col min="8624" max="8624" width="5.28515625" style="35" customWidth="1"/>
    <col min="8625" max="8625" width="26" style="35" customWidth="1"/>
    <col min="8626" max="8626" width="11.140625" style="35" customWidth="1"/>
    <col min="8627" max="8627" width="21.42578125" style="35" customWidth="1"/>
    <col min="8628" max="8628" width="2.140625" style="35" customWidth="1"/>
    <col min="8629" max="8631" width="2" style="35" customWidth="1"/>
    <col min="8632" max="8632" width="2.42578125" style="35" customWidth="1"/>
    <col min="8633" max="8633" width="2" style="35" customWidth="1"/>
    <col min="8634" max="8635" width="2.42578125" style="35" bestFit="1" customWidth="1"/>
    <col min="8636" max="8639" width="2" style="35" customWidth="1"/>
    <col min="8640" max="8640" width="11.7109375" style="35" customWidth="1"/>
    <col min="8641" max="8641" width="12.140625" style="35" customWidth="1"/>
    <col min="8642" max="8642" width="12.85546875" style="35" customWidth="1"/>
    <col min="8643" max="8643" width="14" style="35" customWidth="1"/>
    <col min="8644" max="8644" width="10.5703125" style="35" customWidth="1"/>
    <col min="8645" max="8645" width="12.140625" style="35" customWidth="1"/>
    <col min="8646" max="8646" width="7.42578125" style="35" customWidth="1"/>
    <col min="8647" max="8647" width="16" style="35" customWidth="1"/>
    <col min="8648" max="8649" width="11.42578125" style="35"/>
    <col min="8650" max="8650" width="13.140625" style="35" bestFit="1" customWidth="1"/>
    <col min="8651" max="8879" width="11.42578125" style="35"/>
    <col min="8880" max="8880" width="5.28515625" style="35" customWidth="1"/>
    <col min="8881" max="8881" width="26" style="35" customWidth="1"/>
    <col min="8882" max="8882" width="11.140625" style="35" customWidth="1"/>
    <col min="8883" max="8883" width="21.42578125" style="35" customWidth="1"/>
    <col min="8884" max="8884" width="2.140625" style="35" customWidth="1"/>
    <col min="8885" max="8887" width="2" style="35" customWidth="1"/>
    <col min="8888" max="8888" width="2.42578125" style="35" customWidth="1"/>
    <col min="8889" max="8889" width="2" style="35" customWidth="1"/>
    <col min="8890" max="8891" width="2.42578125" style="35" bestFit="1" customWidth="1"/>
    <col min="8892" max="8895" width="2" style="35" customWidth="1"/>
    <col min="8896" max="8896" width="11.7109375" style="35" customWidth="1"/>
    <col min="8897" max="8897" width="12.140625" style="35" customWidth="1"/>
    <col min="8898" max="8898" width="12.85546875" style="35" customWidth="1"/>
    <col min="8899" max="8899" width="14" style="35" customWidth="1"/>
    <col min="8900" max="8900" width="10.5703125" style="35" customWidth="1"/>
    <col min="8901" max="8901" width="12.140625" style="35" customWidth="1"/>
    <col min="8902" max="8902" width="7.42578125" style="35" customWidth="1"/>
    <col min="8903" max="8903" width="16" style="35" customWidth="1"/>
    <col min="8904" max="8905" width="11.42578125" style="35"/>
    <col min="8906" max="8906" width="13.140625" style="35" bestFit="1" customWidth="1"/>
    <col min="8907" max="9135" width="11.42578125" style="35"/>
    <col min="9136" max="9136" width="5.28515625" style="35" customWidth="1"/>
    <col min="9137" max="9137" width="26" style="35" customWidth="1"/>
    <col min="9138" max="9138" width="11.140625" style="35" customWidth="1"/>
    <col min="9139" max="9139" width="21.42578125" style="35" customWidth="1"/>
    <col min="9140" max="9140" width="2.140625" style="35" customWidth="1"/>
    <col min="9141" max="9143" width="2" style="35" customWidth="1"/>
    <col min="9144" max="9144" width="2.42578125" style="35" customWidth="1"/>
    <col min="9145" max="9145" width="2" style="35" customWidth="1"/>
    <col min="9146" max="9147" width="2.42578125" style="35" bestFit="1" customWidth="1"/>
    <col min="9148" max="9151" width="2" style="35" customWidth="1"/>
    <col min="9152" max="9152" width="11.7109375" style="35" customWidth="1"/>
    <col min="9153" max="9153" width="12.140625" style="35" customWidth="1"/>
    <col min="9154" max="9154" width="12.85546875" style="35" customWidth="1"/>
    <col min="9155" max="9155" width="14" style="35" customWidth="1"/>
    <col min="9156" max="9156" width="10.5703125" style="35" customWidth="1"/>
    <col min="9157" max="9157" width="12.140625" style="35" customWidth="1"/>
    <col min="9158" max="9158" width="7.42578125" style="35" customWidth="1"/>
    <col min="9159" max="9159" width="16" style="35" customWidth="1"/>
    <col min="9160" max="9161" width="11.42578125" style="35"/>
    <col min="9162" max="9162" width="13.140625" style="35" bestFit="1" customWidth="1"/>
    <col min="9163" max="9391" width="11.42578125" style="35"/>
    <col min="9392" max="9392" width="5.28515625" style="35" customWidth="1"/>
    <col min="9393" max="9393" width="26" style="35" customWidth="1"/>
    <col min="9394" max="9394" width="11.140625" style="35" customWidth="1"/>
    <col min="9395" max="9395" width="21.42578125" style="35" customWidth="1"/>
    <col min="9396" max="9396" width="2.140625" style="35" customWidth="1"/>
    <col min="9397" max="9399" width="2" style="35" customWidth="1"/>
    <col min="9400" max="9400" width="2.42578125" style="35" customWidth="1"/>
    <col min="9401" max="9401" width="2" style="35" customWidth="1"/>
    <col min="9402" max="9403" width="2.42578125" style="35" bestFit="1" customWidth="1"/>
    <col min="9404" max="9407" width="2" style="35" customWidth="1"/>
    <col min="9408" max="9408" width="11.7109375" style="35" customWidth="1"/>
    <col min="9409" max="9409" width="12.140625" style="35" customWidth="1"/>
    <col min="9410" max="9410" width="12.85546875" style="35" customWidth="1"/>
    <col min="9411" max="9411" width="14" style="35" customWidth="1"/>
    <col min="9412" max="9412" width="10.5703125" style="35" customWidth="1"/>
    <col min="9413" max="9413" width="12.140625" style="35" customWidth="1"/>
    <col min="9414" max="9414" width="7.42578125" style="35" customWidth="1"/>
    <col min="9415" max="9415" width="16" style="35" customWidth="1"/>
    <col min="9416" max="9417" width="11.42578125" style="35"/>
    <col min="9418" max="9418" width="13.140625" style="35" bestFit="1" customWidth="1"/>
    <col min="9419" max="9647" width="11.42578125" style="35"/>
    <col min="9648" max="9648" width="5.28515625" style="35" customWidth="1"/>
    <col min="9649" max="9649" width="26" style="35" customWidth="1"/>
    <col min="9650" max="9650" width="11.140625" style="35" customWidth="1"/>
    <col min="9651" max="9651" width="21.42578125" style="35" customWidth="1"/>
    <col min="9652" max="9652" width="2.140625" style="35" customWidth="1"/>
    <col min="9653" max="9655" width="2" style="35" customWidth="1"/>
    <col min="9656" max="9656" width="2.42578125" style="35" customWidth="1"/>
    <col min="9657" max="9657" width="2" style="35" customWidth="1"/>
    <col min="9658" max="9659" width="2.42578125" style="35" bestFit="1" customWidth="1"/>
    <col min="9660" max="9663" width="2" style="35" customWidth="1"/>
    <col min="9664" max="9664" width="11.7109375" style="35" customWidth="1"/>
    <col min="9665" max="9665" width="12.140625" style="35" customWidth="1"/>
    <col min="9666" max="9666" width="12.85546875" style="35" customWidth="1"/>
    <col min="9667" max="9667" width="14" style="35" customWidth="1"/>
    <col min="9668" max="9668" width="10.5703125" style="35" customWidth="1"/>
    <col min="9669" max="9669" width="12.140625" style="35" customWidth="1"/>
    <col min="9670" max="9670" width="7.42578125" style="35" customWidth="1"/>
    <col min="9671" max="9671" width="16" style="35" customWidth="1"/>
    <col min="9672" max="9673" width="11.42578125" style="35"/>
    <col min="9674" max="9674" width="13.140625" style="35" bestFit="1" customWidth="1"/>
    <col min="9675" max="9903" width="11.42578125" style="35"/>
    <col min="9904" max="9904" width="5.28515625" style="35" customWidth="1"/>
    <col min="9905" max="9905" width="26" style="35" customWidth="1"/>
    <col min="9906" max="9906" width="11.140625" style="35" customWidth="1"/>
    <col min="9907" max="9907" width="21.42578125" style="35" customWidth="1"/>
    <col min="9908" max="9908" width="2.140625" style="35" customWidth="1"/>
    <col min="9909" max="9911" width="2" style="35" customWidth="1"/>
    <col min="9912" max="9912" width="2.42578125" style="35" customWidth="1"/>
    <col min="9913" max="9913" width="2" style="35" customWidth="1"/>
    <col min="9914" max="9915" width="2.42578125" style="35" bestFit="1" customWidth="1"/>
    <col min="9916" max="9919" width="2" style="35" customWidth="1"/>
    <col min="9920" max="9920" width="11.7109375" style="35" customWidth="1"/>
    <col min="9921" max="9921" width="12.140625" style="35" customWidth="1"/>
    <col min="9922" max="9922" width="12.85546875" style="35" customWidth="1"/>
    <col min="9923" max="9923" width="14" style="35" customWidth="1"/>
    <col min="9924" max="9924" width="10.5703125" style="35" customWidth="1"/>
    <col min="9925" max="9925" width="12.140625" style="35" customWidth="1"/>
    <col min="9926" max="9926" width="7.42578125" style="35" customWidth="1"/>
    <col min="9927" max="9927" width="16" style="35" customWidth="1"/>
    <col min="9928" max="9929" width="11.42578125" style="35"/>
    <col min="9930" max="9930" width="13.140625" style="35" bestFit="1" customWidth="1"/>
    <col min="9931" max="10159" width="11.42578125" style="35"/>
    <col min="10160" max="10160" width="5.28515625" style="35" customWidth="1"/>
    <col min="10161" max="10161" width="26" style="35" customWidth="1"/>
    <col min="10162" max="10162" width="11.140625" style="35" customWidth="1"/>
    <col min="10163" max="10163" width="21.42578125" style="35" customWidth="1"/>
    <col min="10164" max="10164" width="2.140625" style="35" customWidth="1"/>
    <col min="10165" max="10167" width="2" style="35" customWidth="1"/>
    <col min="10168" max="10168" width="2.42578125" style="35" customWidth="1"/>
    <col min="10169" max="10169" width="2" style="35" customWidth="1"/>
    <col min="10170" max="10171" width="2.42578125" style="35" bestFit="1" customWidth="1"/>
    <col min="10172" max="10175" width="2" style="35" customWidth="1"/>
    <col min="10176" max="10176" width="11.7109375" style="35" customWidth="1"/>
    <col min="10177" max="10177" width="12.140625" style="35" customWidth="1"/>
    <col min="10178" max="10178" width="12.85546875" style="35" customWidth="1"/>
    <col min="10179" max="10179" width="14" style="35" customWidth="1"/>
    <col min="10180" max="10180" width="10.5703125" style="35" customWidth="1"/>
    <col min="10181" max="10181" width="12.140625" style="35" customWidth="1"/>
    <col min="10182" max="10182" width="7.42578125" style="35" customWidth="1"/>
    <col min="10183" max="10183" width="16" style="35" customWidth="1"/>
    <col min="10184" max="10185" width="11.42578125" style="35"/>
    <col min="10186" max="10186" width="13.140625" style="35" bestFit="1" customWidth="1"/>
    <col min="10187" max="10415" width="11.42578125" style="35"/>
    <col min="10416" max="10416" width="5.28515625" style="35" customWidth="1"/>
    <col min="10417" max="10417" width="26" style="35" customWidth="1"/>
    <col min="10418" max="10418" width="11.140625" style="35" customWidth="1"/>
    <col min="10419" max="10419" width="21.42578125" style="35" customWidth="1"/>
    <col min="10420" max="10420" width="2.140625" style="35" customWidth="1"/>
    <col min="10421" max="10423" width="2" style="35" customWidth="1"/>
    <col min="10424" max="10424" width="2.42578125" style="35" customWidth="1"/>
    <col min="10425" max="10425" width="2" style="35" customWidth="1"/>
    <col min="10426" max="10427" width="2.42578125" style="35" bestFit="1" customWidth="1"/>
    <col min="10428" max="10431" width="2" style="35" customWidth="1"/>
    <col min="10432" max="10432" width="11.7109375" style="35" customWidth="1"/>
    <col min="10433" max="10433" width="12.140625" style="35" customWidth="1"/>
    <col min="10434" max="10434" width="12.85546875" style="35" customWidth="1"/>
    <col min="10435" max="10435" width="14" style="35" customWidth="1"/>
    <col min="10436" max="10436" width="10.5703125" style="35" customWidth="1"/>
    <col min="10437" max="10437" width="12.140625" style="35" customWidth="1"/>
    <col min="10438" max="10438" width="7.42578125" style="35" customWidth="1"/>
    <col min="10439" max="10439" width="16" style="35" customWidth="1"/>
    <col min="10440" max="10441" width="11.42578125" style="35"/>
    <col min="10442" max="10442" width="13.140625" style="35" bestFit="1" customWidth="1"/>
    <col min="10443" max="10671" width="11.42578125" style="35"/>
    <col min="10672" max="10672" width="5.28515625" style="35" customWidth="1"/>
    <col min="10673" max="10673" width="26" style="35" customWidth="1"/>
    <col min="10674" max="10674" width="11.140625" style="35" customWidth="1"/>
    <col min="10675" max="10675" width="21.42578125" style="35" customWidth="1"/>
    <col min="10676" max="10676" width="2.140625" style="35" customWidth="1"/>
    <col min="10677" max="10679" width="2" style="35" customWidth="1"/>
    <col min="10680" max="10680" width="2.42578125" style="35" customWidth="1"/>
    <col min="10681" max="10681" width="2" style="35" customWidth="1"/>
    <col min="10682" max="10683" width="2.42578125" style="35" bestFit="1" customWidth="1"/>
    <col min="10684" max="10687" width="2" style="35" customWidth="1"/>
    <col min="10688" max="10688" width="11.7109375" style="35" customWidth="1"/>
    <col min="10689" max="10689" width="12.140625" style="35" customWidth="1"/>
    <col min="10690" max="10690" width="12.85546875" style="35" customWidth="1"/>
    <col min="10691" max="10691" width="14" style="35" customWidth="1"/>
    <col min="10692" max="10692" width="10.5703125" style="35" customWidth="1"/>
    <col min="10693" max="10693" width="12.140625" style="35" customWidth="1"/>
    <col min="10694" max="10694" width="7.42578125" style="35" customWidth="1"/>
    <col min="10695" max="10695" width="16" style="35" customWidth="1"/>
    <col min="10696" max="10697" width="11.42578125" style="35"/>
    <col min="10698" max="10698" width="13.140625" style="35" bestFit="1" customWidth="1"/>
    <col min="10699" max="10927" width="11.42578125" style="35"/>
    <col min="10928" max="10928" width="5.28515625" style="35" customWidth="1"/>
    <col min="10929" max="10929" width="26" style="35" customWidth="1"/>
    <col min="10930" max="10930" width="11.140625" style="35" customWidth="1"/>
    <col min="10931" max="10931" width="21.42578125" style="35" customWidth="1"/>
    <col min="10932" max="10932" width="2.140625" style="35" customWidth="1"/>
    <col min="10933" max="10935" width="2" style="35" customWidth="1"/>
    <col min="10936" max="10936" width="2.42578125" style="35" customWidth="1"/>
    <col min="10937" max="10937" width="2" style="35" customWidth="1"/>
    <col min="10938" max="10939" width="2.42578125" style="35" bestFit="1" customWidth="1"/>
    <col min="10940" max="10943" width="2" style="35" customWidth="1"/>
    <col min="10944" max="10944" width="11.7109375" style="35" customWidth="1"/>
    <col min="10945" max="10945" width="12.140625" style="35" customWidth="1"/>
    <col min="10946" max="10946" width="12.85546875" style="35" customWidth="1"/>
    <col min="10947" max="10947" width="14" style="35" customWidth="1"/>
    <col min="10948" max="10948" width="10.5703125" style="35" customWidth="1"/>
    <col min="10949" max="10949" width="12.140625" style="35" customWidth="1"/>
    <col min="10950" max="10950" width="7.42578125" style="35" customWidth="1"/>
    <col min="10951" max="10951" width="16" style="35" customWidth="1"/>
    <col min="10952" max="10953" width="11.42578125" style="35"/>
    <col min="10954" max="10954" width="13.140625" style="35" bestFit="1" customWidth="1"/>
    <col min="10955" max="11183" width="11.42578125" style="35"/>
    <col min="11184" max="11184" width="5.28515625" style="35" customWidth="1"/>
    <col min="11185" max="11185" width="26" style="35" customWidth="1"/>
    <col min="11186" max="11186" width="11.140625" style="35" customWidth="1"/>
    <col min="11187" max="11187" width="21.42578125" style="35" customWidth="1"/>
    <col min="11188" max="11188" width="2.140625" style="35" customWidth="1"/>
    <col min="11189" max="11191" width="2" style="35" customWidth="1"/>
    <col min="11192" max="11192" width="2.42578125" style="35" customWidth="1"/>
    <col min="11193" max="11193" width="2" style="35" customWidth="1"/>
    <col min="11194" max="11195" width="2.42578125" style="35" bestFit="1" customWidth="1"/>
    <col min="11196" max="11199" width="2" style="35" customWidth="1"/>
    <col min="11200" max="11200" width="11.7109375" style="35" customWidth="1"/>
    <col min="11201" max="11201" width="12.140625" style="35" customWidth="1"/>
    <col min="11202" max="11202" width="12.85546875" style="35" customWidth="1"/>
    <col min="11203" max="11203" width="14" style="35" customWidth="1"/>
    <col min="11204" max="11204" width="10.5703125" style="35" customWidth="1"/>
    <col min="11205" max="11205" width="12.140625" style="35" customWidth="1"/>
    <col min="11206" max="11206" width="7.42578125" style="35" customWidth="1"/>
    <col min="11207" max="11207" width="16" style="35" customWidth="1"/>
    <col min="11208" max="11209" width="11.42578125" style="35"/>
    <col min="11210" max="11210" width="13.140625" style="35" bestFit="1" customWidth="1"/>
    <col min="11211" max="11439" width="11.42578125" style="35"/>
    <col min="11440" max="11440" width="5.28515625" style="35" customWidth="1"/>
    <col min="11441" max="11441" width="26" style="35" customWidth="1"/>
    <col min="11442" max="11442" width="11.140625" style="35" customWidth="1"/>
    <col min="11443" max="11443" width="21.42578125" style="35" customWidth="1"/>
    <col min="11444" max="11444" width="2.140625" style="35" customWidth="1"/>
    <col min="11445" max="11447" width="2" style="35" customWidth="1"/>
    <col min="11448" max="11448" width="2.42578125" style="35" customWidth="1"/>
    <col min="11449" max="11449" width="2" style="35" customWidth="1"/>
    <col min="11450" max="11451" width="2.42578125" style="35" bestFit="1" customWidth="1"/>
    <col min="11452" max="11455" width="2" style="35" customWidth="1"/>
    <col min="11456" max="11456" width="11.7109375" style="35" customWidth="1"/>
    <col min="11457" max="11457" width="12.140625" style="35" customWidth="1"/>
    <col min="11458" max="11458" width="12.85546875" style="35" customWidth="1"/>
    <col min="11459" max="11459" width="14" style="35" customWidth="1"/>
    <col min="11460" max="11460" width="10.5703125" style="35" customWidth="1"/>
    <col min="11461" max="11461" width="12.140625" style="35" customWidth="1"/>
    <col min="11462" max="11462" width="7.42578125" style="35" customWidth="1"/>
    <col min="11463" max="11463" width="16" style="35" customWidth="1"/>
    <col min="11464" max="11465" width="11.42578125" style="35"/>
    <col min="11466" max="11466" width="13.140625" style="35" bestFit="1" customWidth="1"/>
    <col min="11467" max="11695" width="11.42578125" style="35"/>
    <col min="11696" max="11696" width="5.28515625" style="35" customWidth="1"/>
    <col min="11697" max="11697" width="26" style="35" customWidth="1"/>
    <col min="11698" max="11698" width="11.140625" style="35" customWidth="1"/>
    <col min="11699" max="11699" width="21.42578125" style="35" customWidth="1"/>
    <col min="11700" max="11700" width="2.140625" style="35" customWidth="1"/>
    <col min="11701" max="11703" width="2" style="35" customWidth="1"/>
    <col min="11704" max="11704" width="2.42578125" style="35" customWidth="1"/>
    <col min="11705" max="11705" width="2" style="35" customWidth="1"/>
    <col min="11706" max="11707" width="2.42578125" style="35" bestFit="1" customWidth="1"/>
    <col min="11708" max="11711" width="2" style="35" customWidth="1"/>
    <col min="11712" max="11712" width="11.7109375" style="35" customWidth="1"/>
    <col min="11713" max="11713" width="12.140625" style="35" customWidth="1"/>
    <col min="11714" max="11714" width="12.85546875" style="35" customWidth="1"/>
    <col min="11715" max="11715" width="14" style="35" customWidth="1"/>
    <col min="11716" max="11716" width="10.5703125" style="35" customWidth="1"/>
    <col min="11717" max="11717" width="12.140625" style="35" customWidth="1"/>
    <col min="11718" max="11718" width="7.42578125" style="35" customWidth="1"/>
    <col min="11719" max="11719" width="16" style="35" customWidth="1"/>
    <col min="11720" max="11721" width="11.42578125" style="35"/>
    <col min="11722" max="11722" width="13.140625" style="35" bestFit="1" customWidth="1"/>
    <col min="11723" max="11951" width="11.42578125" style="35"/>
    <col min="11952" max="11952" width="5.28515625" style="35" customWidth="1"/>
    <col min="11953" max="11953" width="26" style="35" customWidth="1"/>
    <col min="11954" max="11954" width="11.140625" style="35" customWidth="1"/>
    <col min="11955" max="11955" width="21.42578125" style="35" customWidth="1"/>
    <col min="11956" max="11956" width="2.140625" style="35" customWidth="1"/>
    <col min="11957" max="11959" width="2" style="35" customWidth="1"/>
    <col min="11960" max="11960" width="2.42578125" style="35" customWidth="1"/>
    <col min="11961" max="11961" width="2" style="35" customWidth="1"/>
    <col min="11962" max="11963" width="2.42578125" style="35" bestFit="1" customWidth="1"/>
    <col min="11964" max="11967" width="2" style="35" customWidth="1"/>
    <col min="11968" max="11968" width="11.7109375" style="35" customWidth="1"/>
    <col min="11969" max="11969" width="12.140625" style="35" customWidth="1"/>
    <col min="11970" max="11970" width="12.85546875" style="35" customWidth="1"/>
    <col min="11971" max="11971" width="14" style="35" customWidth="1"/>
    <col min="11972" max="11972" width="10.5703125" style="35" customWidth="1"/>
    <col min="11973" max="11973" width="12.140625" style="35" customWidth="1"/>
    <col min="11974" max="11974" width="7.42578125" style="35" customWidth="1"/>
    <col min="11975" max="11975" width="16" style="35" customWidth="1"/>
    <col min="11976" max="11977" width="11.42578125" style="35"/>
    <col min="11978" max="11978" width="13.140625" style="35" bestFit="1" customWidth="1"/>
    <col min="11979" max="12207" width="11.42578125" style="35"/>
    <col min="12208" max="12208" width="5.28515625" style="35" customWidth="1"/>
    <col min="12209" max="12209" width="26" style="35" customWidth="1"/>
    <col min="12210" max="12210" width="11.140625" style="35" customWidth="1"/>
    <col min="12211" max="12211" width="21.42578125" style="35" customWidth="1"/>
    <col min="12212" max="12212" width="2.140625" style="35" customWidth="1"/>
    <col min="12213" max="12215" width="2" style="35" customWidth="1"/>
    <col min="12216" max="12216" width="2.42578125" style="35" customWidth="1"/>
    <col min="12217" max="12217" width="2" style="35" customWidth="1"/>
    <col min="12218" max="12219" width="2.42578125" style="35" bestFit="1" customWidth="1"/>
    <col min="12220" max="12223" width="2" style="35" customWidth="1"/>
    <col min="12224" max="12224" width="11.7109375" style="35" customWidth="1"/>
    <col min="12225" max="12225" width="12.140625" style="35" customWidth="1"/>
    <col min="12226" max="12226" width="12.85546875" style="35" customWidth="1"/>
    <col min="12227" max="12227" width="14" style="35" customWidth="1"/>
    <col min="12228" max="12228" width="10.5703125" style="35" customWidth="1"/>
    <col min="12229" max="12229" width="12.140625" style="35" customWidth="1"/>
    <col min="12230" max="12230" width="7.42578125" style="35" customWidth="1"/>
    <col min="12231" max="12231" width="16" style="35" customWidth="1"/>
    <col min="12232" max="12233" width="11.42578125" style="35"/>
    <col min="12234" max="12234" width="13.140625" style="35" bestFit="1" customWidth="1"/>
    <col min="12235" max="12463" width="11.42578125" style="35"/>
    <col min="12464" max="12464" width="5.28515625" style="35" customWidth="1"/>
    <col min="12465" max="12465" width="26" style="35" customWidth="1"/>
    <col min="12466" max="12466" width="11.140625" style="35" customWidth="1"/>
    <col min="12467" max="12467" width="21.42578125" style="35" customWidth="1"/>
    <col min="12468" max="12468" width="2.140625" style="35" customWidth="1"/>
    <col min="12469" max="12471" width="2" style="35" customWidth="1"/>
    <col min="12472" max="12472" width="2.42578125" style="35" customWidth="1"/>
    <col min="12473" max="12473" width="2" style="35" customWidth="1"/>
    <col min="12474" max="12475" width="2.42578125" style="35" bestFit="1" customWidth="1"/>
    <col min="12476" max="12479" width="2" style="35" customWidth="1"/>
    <col min="12480" max="12480" width="11.7109375" style="35" customWidth="1"/>
    <col min="12481" max="12481" width="12.140625" style="35" customWidth="1"/>
    <col min="12482" max="12482" width="12.85546875" style="35" customWidth="1"/>
    <col min="12483" max="12483" width="14" style="35" customWidth="1"/>
    <col min="12484" max="12484" width="10.5703125" style="35" customWidth="1"/>
    <col min="12485" max="12485" width="12.140625" style="35" customWidth="1"/>
    <col min="12486" max="12486" width="7.42578125" style="35" customWidth="1"/>
    <col min="12487" max="12487" width="16" style="35" customWidth="1"/>
    <col min="12488" max="12489" width="11.42578125" style="35"/>
    <col min="12490" max="12490" width="13.140625" style="35" bestFit="1" customWidth="1"/>
    <col min="12491" max="12719" width="11.42578125" style="35"/>
    <col min="12720" max="12720" width="5.28515625" style="35" customWidth="1"/>
    <col min="12721" max="12721" width="26" style="35" customWidth="1"/>
    <col min="12722" max="12722" width="11.140625" style="35" customWidth="1"/>
    <col min="12723" max="12723" width="21.42578125" style="35" customWidth="1"/>
    <col min="12724" max="12724" width="2.140625" style="35" customWidth="1"/>
    <col min="12725" max="12727" width="2" style="35" customWidth="1"/>
    <col min="12728" max="12728" width="2.42578125" style="35" customWidth="1"/>
    <col min="12729" max="12729" width="2" style="35" customWidth="1"/>
    <col min="12730" max="12731" width="2.42578125" style="35" bestFit="1" customWidth="1"/>
    <col min="12732" max="12735" width="2" style="35" customWidth="1"/>
    <col min="12736" max="12736" width="11.7109375" style="35" customWidth="1"/>
    <col min="12737" max="12737" width="12.140625" style="35" customWidth="1"/>
    <col min="12738" max="12738" width="12.85546875" style="35" customWidth="1"/>
    <col min="12739" max="12739" width="14" style="35" customWidth="1"/>
    <col min="12740" max="12740" width="10.5703125" style="35" customWidth="1"/>
    <col min="12741" max="12741" width="12.140625" style="35" customWidth="1"/>
    <col min="12742" max="12742" width="7.42578125" style="35" customWidth="1"/>
    <col min="12743" max="12743" width="16" style="35" customWidth="1"/>
    <col min="12744" max="12745" width="11.42578125" style="35"/>
    <col min="12746" max="12746" width="13.140625" style="35" bestFit="1" customWidth="1"/>
    <col min="12747" max="12975" width="11.42578125" style="35"/>
    <col min="12976" max="12976" width="5.28515625" style="35" customWidth="1"/>
    <col min="12977" max="12977" width="26" style="35" customWidth="1"/>
    <col min="12978" max="12978" width="11.140625" style="35" customWidth="1"/>
    <col min="12979" max="12979" width="21.42578125" style="35" customWidth="1"/>
    <col min="12980" max="12980" width="2.140625" style="35" customWidth="1"/>
    <col min="12981" max="12983" width="2" style="35" customWidth="1"/>
    <col min="12984" max="12984" width="2.42578125" style="35" customWidth="1"/>
    <col min="12985" max="12985" width="2" style="35" customWidth="1"/>
    <col min="12986" max="12987" width="2.42578125" style="35" bestFit="1" customWidth="1"/>
    <col min="12988" max="12991" width="2" style="35" customWidth="1"/>
    <col min="12992" max="12992" width="11.7109375" style="35" customWidth="1"/>
    <col min="12993" max="12993" width="12.140625" style="35" customWidth="1"/>
    <col min="12994" max="12994" width="12.85546875" style="35" customWidth="1"/>
    <col min="12995" max="12995" width="14" style="35" customWidth="1"/>
    <col min="12996" max="12996" width="10.5703125" style="35" customWidth="1"/>
    <col min="12997" max="12997" width="12.140625" style="35" customWidth="1"/>
    <col min="12998" max="12998" width="7.42578125" style="35" customWidth="1"/>
    <col min="12999" max="12999" width="16" style="35" customWidth="1"/>
    <col min="13000" max="13001" width="11.42578125" style="35"/>
    <col min="13002" max="13002" width="13.140625" style="35" bestFit="1" customWidth="1"/>
    <col min="13003" max="13231" width="11.42578125" style="35"/>
    <col min="13232" max="13232" width="5.28515625" style="35" customWidth="1"/>
    <col min="13233" max="13233" width="26" style="35" customWidth="1"/>
    <col min="13234" max="13234" width="11.140625" style="35" customWidth="1"/>
    <col min="13235" max="13235" width="21.42578125" style="35" customWidth="1"/>
    <col min="13236" max="13236" width="2.140625" style="35" customWidth="1"/>
    <col min="13237" max="13239" width="2" style="35" customWidth="1"/>
    <col min="13240" max="13240" width="2.42578125" style="35" customWidth="1"/>
    <col min="13241" max="13241" width="2" style="35" customWidth="1"/>
    <col min="13242" max="13243" width="2.42578125" style="35" bestFit="1" customWidth="1"/>
    <col min="13244" max="13247" width="2" style="35" customWidth="1"/>
    <col min="13248" max="13248" width="11.7109375" style="35" customWidth="1"/>
    <col min="13249" max="13249" width="12.140625" style="35" customWidth="1"/>
    <col min="13250" max="13250" width="12.85546875" style="35" customWidth="1"/>
    <col min="13251" max="13251" width="14" style="35" customWidth="1"/>
    <col min="13252" max="13252" width="10.5703125" style="35" customWidth="1"/>
    <col min="13253" max="13253" width="12.140625" style="35" customWidth="1"/>
    <col min="13254" max="13254" width="7.42578125" style="35" customWidth="1"/>
    <col min="13255" max="13255" width="16" style="35" customWidth="1"/>
    <col min="13256" max="13257" width="11.42578125" style="35"/>
    <col min="13258" max="13258" width="13.140625" style="35" bestFit="1" customWidth="1"/>
    <col min="13259" max="13487" width="11.42578125" style="35"/>
    <col min="13488" max="13488" width="5.28515625" style="35" customWidth="1"/>
    <col min="13489" max="13489" width="26" style="35" customWidth="1"/>
    <col min="13490" max="13490" width="11.140625" style="35" customWidth="1"/>
    <col min="13491" max="13491" width="21.42578125" style="35" customWidth="1"/>
    <col min="13492" max="13492" width="2.140625" style="35" customWidth="1"/>
    <col min="13493" max="13495" width="2" style="35" customWidth="1"/>
    <col min="13496" max="13496" width="2.42578125" style="35" customWidth="1"/>
    <col min="13497" max="13497" width="2" style="35" customWidth="1"/>
    <col min="13498" max="13499" width="2.42578125" style="35" bestFit="1" customWidth="1"/>
    <col min="13500" max="13503" width="2" style="35" customWidth="1"/>
    <col min="13504" max="13504" width="11.7109375" style="35" customWidth="1"/>
    <col min="13505" max="13505" width="12.140625" style="35" customWidth="1"/>
    <col min="13506" max="13506" width="12.85546875" style="35" customWidth="1"/>
    <col min="13507" max="13507" width="14" style="35" customWidth="1"/>
    <col min="13508" max="13508" width="10.5703125" style="35" customWidth="1"/>
    <col min="13509" max="13509" width="12.140625" style="35" customWidth="1"/>
    <col min="13510" max="13510" width="7.42578125" style="35" customWidth="1"/>
    <col min="13511" max="13511" width="16" style="35" customWidth="1"/>
    <col min="13512" max="13513" width="11.42578125" style="35"/>
    <col min="13514" max="13514" width="13.140625" style="35" bestFit="1" customWidth="1"/>
    <col min="13515" max="13743" width="11.42578125" style="35"/>
    <col min="13744" max="13744" width="5.28515625" style="35" customWidth="1"/>
    <col min="13745" max="13745" width="26" style="35" customWidth="1"/>
    <col min="13746" max="13746" width="11.140625" style="35" customWidth="1"/>
    <col min="13747" max="13747" width="21.42578125" style="35" customWidth="1"/>
    <col min="13748" max="13748" width="2.140625" style="35" customWidth="1"/>
    <col min="13749" max="13751" width="2" style="35" customWidth="1"/>
    <col min="13752" max="13752" width="2.42578125" style="35" customWidth="1"/>
    <col min="13753" max="13753" width="2" style="35" customWidth="1"/>
    <col min="13754" max="13755" width="2.42578125" style="35" bestFit="1" customWidth="1"/>
    <col min="13756" max="13759" width="2" style="35" customWidth="1"/>
    <col min="13760" max="13760" width="11.7109375" style="35" customWidth="1"/>
    <col min="13761" max="13761" width="12.140625" style="35" customWidth="1"/>
    <col min="13762" max="13762" width="12.85546875" style="35" customWidth="1"/>
    <col min="13763" max="13763" width="14" style="35" customWidth="1"/>
    <col min="13764" max="13764" width="10.5703125" style="35" customWidth="1"/>
    <col min="13765" max="13765" width="12.140625" style="35" customWidth="1"/>
    <col min="13766" max="13766" width="7.42578125" style="35" customWidth="1"/>
    <col min="13767" max="13767" width="16" style="35" customWidth="1"/>
    <col min="13768" max="13769" width="11.42578125" style="35"/>
    <col min="13770" max="13770" width="13.140625" style="35" bestFit="1" customWidth="1"/>
    <col min="13771" max="13999" width="11.42578125" style="35"/>
    <col min="14000" max="14000" width="5.28515625" style="35" customWidth="1"/>
    <col min="14001" max="14001" width="26" style="35" customWidth="1"/>
    <col min="14002" max="14002" width="11.140625" style="35" customWidth="1"/>
    <col min="14003" max="14003" width="21.42578125" style="35" customWidth="1"/>
    <col min="14004" max="14004" width="2.140625" style="35" customWidth="1"/>
    <col min="14005" max="14007" width="2" style="35" customWidth="1"/>
    <col min="14008" max="14008" width="2.42578125" style="35" customWidth="1"/>
    <col min="14009" max="14009" width="2" style="35" customWidth="1"/>
    <col min="14010" max="14011" width="2.42578125" style="35" bestFit="1" customWidth="1"/>
    <col min="14012" max="14015" width="2" style="35" customWidth="1"/>
    <col min="14016" max="14016" width="11.7109375" style="35" customWidth="1"/>
    <col min="14017" max="14017" width="12.140625" style="35" customWidth="1"/>
    <col min="14018" max="14018" width="12.85546875" style="35" customWidth="1"/>
    <col min="14019" max="14019" width="14" style="35" customWidth="1"/>
    <col min="14020" max="14020" width="10.5703125" style="35" customWidth="1"/>
    <col min="14021" max="14021" width="12.140625" style="35" customWidth="1"/>
    <col min="14022" max="14022" width="7.42578125" style="35" customWidth="1"/>
    <col min="14023" max="14023" width="16" style="35" customWidth="1"/>
    <col min="14024" max="14025" width="11.42578125" style="35"/>
    <col min="14026" max="14026" width="13.140625" style="35" bestFit="1" customWidth="1"/>
    <col min="14027" max="14255" width="11.42578125" style="35"/>
    <col min="14256" max="14256" width="5.28515625" style="35" customWidth="1"/>
    <col min="14257" max="14257" width="26" style="35" customWidth="1"/>
    <col min="14258" max="14258" width="11.140625" style="35" customWidth="1"/>
    <col min="14259" max="14259" width="21.42578125" style="35" customWidth="1"/>
    <col min="14260" max="14260" width="2.140625" style="35" customWidth="1"/>
    <col min="14261" max="14263" width="2" style="35" customWidth="1"/>
    <col min="14264" max="14264" width="2.42578125" style="35" customWidth="1"/>
    <col min="14265" max="14265" width="2" style="35" customWidth="1"/>
    <col min="14266" max="14267" width="2.42578125" style="35" bestFit="1" customWidth="1"/>
    <col min="14268" max="14271" width="2" style="35" customWidth="1"/>
    <col min="14272" max="14272" width="11.7109375" style="35" customWidth="1"/>
    <col min="14273" max="14273" width="12.140625" style="35" customWidth="1"/>
    <col min="14274" max="14274" width="12.85546875" style="35" customWidth="1"/>
    <col min="14275" max="14275" width="14" style="35" customWidth="1"/>
    <col min="14276" max="14276" width="10.5703125" style="35" customWidth="1"/>
    <col min="14277" max="14277" width="12.140625" style="35" customWidth="1"/>
    <col min="14278" max="14278" width="7.42578125" style="35" customWidth="1"/>
    <col min="14279" max="14279" width="16" style="35" customWidth="1"/>
    <col min="14280" max="14281" width="11.42578125" style="35"/>
    <col min="14282" max="14282" width="13.140625" style="35" bestFit="1" customWidth="1"/>
    <col min="14283" max="14511" width="11.42578125" style="35"/>
    <col min="14512" max="14512" width="5.28515625" style="35" customWidth="1"/>
    <col min="14513" max="14513" width="26" style="35" customWidth="1"/>
    <col min="14514" max="14514" width="11.140625" style="35" customWidth="1"/>
    <col min="14515" max="14515" width="21.42578125" style="35" customWidth="1"/>
    <col min="14516" max="14516" width="2.140625" style="35" customWidth="1"/>
    <col min="14517" max="14519" width="2" style="35" customWidth="1"/>
    <col min="14520" max="14520" width="2.42578125" style="35" customWidth="1"/>
    <col min="14521" max="14521" width="2" style="35" customWidth="1"/>
    <col min="14522" max="14523" width="2.42578125" style="35" bestFit="1" customWidth="1"/>
    <col min="14524" max="14527" width="2" style="35" customWidth="1"/>
    <col min="14528" max="14528" width="11.7109375" style="35" customWidth="1"/>
    <col min="14529" max="14529" width="12.140625" style="35" customWidth="1"/>
    <col min="14530" max="14530" width="12.85546875" style="35" customWidth="1"/>
    <col min="14531" max="14531" width="14" style="35" customWidth="1"/>
    <col min="14532" max="14532" width="10.5703125" style="35" customWidth="1"/>
    <col min="14533" max="14533" width="12.140625" style="35" customWidth="1"/>
    <col min="14534" max="14534" width="7.42578125" style="35" customWidth="1"/>
    <col min="14535" max="14535" width="16" style="35" customWidth="1"/>
    <col min="14536" max="14537" width="11.42578125" style="35"/>
    <col min="14538" max="14538" width="13.140625" style="35" bestFit="1" customWidth="1"/>
    <col min="14539" max="14767" width="11.42578125" style="35"/>
    <col min="14768" max="14768" width="5.28515625" style="35" customWidth="1"/>
    <col min="14769" max="14769" width="26" style="35" customWidth="1"/>
    <col min="14770" max="14770" width="11.140625" style="35" customWidth="1"/>
    <col min="14771" max="14771" width="21.42578125" style="35" customWidth="1"/>
    <col min="14772" max="14772" width="2.140625" style="35" customWidth="1"/>
    <col min="14773" max="14775" width="2" style="35" customWidth="1"/>
    <col min="14776" max="14776" width="2.42578125" style="35" customWidth="1"/>
    <col min="14777" max="14777" width="2" style="35" customWidth="1"/>
    <col min="14778" max="14779" width="2.42578125" style="35" bestFit="1" customWidth="1"/>
    <col min="14780" max="14783" width="2" style="35" customWidth="1"/>
    <col min="14784" max="14784" width="11.7109375" style="35" customWidth="1"/>
    <col min="14785" max="14785" width="12.140625" style="35" customWidth="1"/>
    <col min="14786" max="14786" width="12.85546875" style="35" customWidth="1"/>
    <col min="14787" max="14787" width="14" style="35" customWidth="1"/>
    <col min="14788" max="14788" width="10.5703125" style="35" customWidth="1"/>
    <col min="14789" max="14789" width="12.140625" style="35" customWidth="1"/>
    <col min="14790" max="14790" width="7.42578125" style="35" customWidth="1"/>
    <col min="14791" max="14791" width="16" style="35" customWidth="1"/>
    <col min="14792" max="14793" width="11.42578125" style="35"/>
    <col min="14794" max="14794" width="13.140625" style="35" bestFit="1" customWidth="1"/>
    <col min="14795" max="15023" width="11.42578125" style="35"/>
    <col min="15024" max="15024" width="5.28515625" style="35" customWidth="1"/>
    <col min="15025" max="15025" width="26" style="35" customWidth="1"/>
    <col min="15026" max="15026" width="11.140625" style="35" customWidth="1"/>
    <col min="15027" max="15027" width="21.42578125" style="35" customWidth="1"/>
    <col min="15028" max="15028" width="2.140625" style="35" customWidth="1"/>
    <col min="15029" max="15031" width="2" style="35" customWidth="1"/>
    <col min="15032" max="15032" width="2.42578125" style="35" customWidth="1"/>
    <col min="15033" max="15033" width="2" style="35" customWidth="1"/>
    <col min="15034" max="15035" width="2.42578125" style="35" bestFit="1" customWidth="1"/>
    <col min="15036" max="15039" width="2" style="35" customWidth="1"/>
    <col min="15040" max="15040" width="11.7109375" style="35" customWidth="1"/>
    <col min="15041" max="15041" width="12.140625" style="35" customWidth="1"/>
    <col min="15042" max="15042" width="12.85546875" style="35" customWidth="1"/>
    <col min="15043" max="15043" width="14" style="35" customWidth="1"/>
    <col min="15044" max="15044" width="10.5703125" style="35" customWidth="1"/>
    <col min="15045" max="15045" width="12.140625" style="35" customWidth="1"/>
    <col min="15046" max="15046" width="7.42578125" style="35" customWidth="1"/>
    <col min="15047" max="15047" width="16" style="35" customWidth="1"/>
    <col min="15048" max="15049" width="11.42578125" style="35"/>
    <col min="15050" max="15050" width="13.140625" style="35" bestFit="1" customWidth="1"/>
    <col min="15051" max="15279" width="11.42578125" style="35"/>
    <col min="15280" max="15280" width="5.28515625" style="35" customWidth="1"/>
    <col min="15281" max="15281" width="26" style="35" customWidth="1"/>
    <col min="15282" max="15282" width="11.140625" style="35" customWidth="1"/>
    <col min="15283" max="15283" width="21.42578125" style="35" customWidth="1"/>
    <col min="15284" max="15284" width="2.140625" style="35" customWidth="1"/>
    <col min="15285" max="15287" width="2" style="35" customWidth="1"/>
    <col min="15288" max="15288" width="2.42578125" style="35" customWidth="1"/>
    <col min="15289" max="15289" width="2" style="35" customWidth="1"/>
    <col min="15290" max="15291" width="2.42578125" style="35" bestFit="1" customWidth="1"/>
    <col min="15292" max="15295" width="2" style="35" customWidth="1"/>
    <col min="15296" max="15296" width="11.7109375" style="35" customWidth="1"/>
    <col min="15297" max="15297" width="12.140625" style="35" customWidth="1"/>
    <col min="15298" max="15298" width="12.85546875" style="35" customWidth="1"/>
    <col min="15299" max="15299" width="14" style="35" customWidth="1"/>
    <col min="15300" max="15300" width="10.5703125" style="35" customWidth="1"/>
    <col min="15301" max="15301" width="12.140625" style="35" customWidth="1"/>
    <col min="15302" max="15302" width="7.42578125" style="35" customWidth="1"/>
    <col min="15303" max="15303" width="16" style="35" customWidth="1"/>
    <col min="15304" max="15305" width="11.42578125" style="35"/>
    <col min="15306" max="15306" width="13.140625" style="35" bestFit="1" customWidth="1"/>
    <col min="15307" max="15535" width="11.42578125" style="35"/>
    <col min="15536" max="15536" width="5.28515625" style="35" customWidth="1"/>
    <col min="15537" max="15537" width="26" style="35" customWidth="1"/>
    <col min="15538" max="15538" width="11.140625" style="35" customWidth="1"/>
    <col min="15539" max="15539" width="21.42578125" style="35" customWidth="1"/>
    <col min="15540" max="15540" width="2.140625" style="35" customWidth="1"/>
    <col min="15541" max="15543" width="2" style="35" customWidth="1"/>
    <col min="15544" max="15544" width="2.42578125" style="35" customWidth="1"/>
    <col min="15545" max="15545" width="2" style="35" customWidth="1"/>
    <col min="15546" max="15547" width="2.42578125" style="35" bestFit="1" customWidth="1"/>
    <col min="15548" max="15551" width="2" style="35" customWidth="1"/>
    <col min="15552" max="15552" width="11.7109375" style="35" customWidth="1"/>
    <col min="15553" max="15553" width="12.140625" style="35" customWidth="1"/>
    <col min="15554" max="15554" width="12.85546875" style="35" customWidth="1"/>
    <col min="15555" max="15555" width="14" style="35" customWidth="1"/>
    <col min="15556" max="15556" width="10.5703125" style="35" customWidth="1"/>
    <col min="15557" max="15557" width="12.140625" style="35" customWidth="1"/>
    <col min="15558" max="15558" width="7.42578125" style="35" customWidth="1"/>
    <col min="15559" max="15559" width="16" style="35" customWidth="1"/>
    <col min="15560" max="15561" width="11.42578125" style="35"/>
    <col min="15562" max="15562" width="13.140625" style="35" bestFit="1" customWidth="1"/>
    <col min="15563" max="15791" width="11.42578125" style="35"/>
    <col min="15792" max="15792" width="5.28515625" style="35" customWidth="1"/>
    <col min="15793" max="15793" width="26" style="35" customWidth="1"/>
    <col min="15794" max="15794" width="11.140625" style="35" customWidth="1"/>
    <col min="15795" max="15795" width="21.42578125" style="35" customWidth="1"/>
    <col min="15796" max="15796" width="2.140625" style="35" customWidth="1"/>
    <col min="15797" max="15799" width="2" style="35" customWidth="1"/>
    <col min="15800" max="15800" width="2.42578125" style="35" customWidth="1"/>
    <col min="15801" max="15801" width="2" style="35" customWidth="1"/>
    <col min="15802" max="15803" width="2.42578125" style="35" bestFit="1" customWidth="1"/>
    <col min="15804" max="15807" width="2" style="35" customWidth="1"/>
    <col min="15808" max="15808" width="11.7109375" style="35" customWidth="1"/>
    <col min="15809" max="15809" width="12.140625" style="35" customWidth="1"/>
    <col min="15810" max="15810" width="12.85546875" style="35" customWidth="1"/>
    <col min="15811" max="15811" width="14" style="35" customWidth="1"/>
    <col min="15812" max="15812" width="10.5703125" style="35" customWidth="1"/>
    <col min="15813" max="15813" width="12.140625" style="35" customWidth="1"/>
    <col min="15814" max="15814" width="7.42578125" style="35" customWidth="1"/>
    <col min="15815" max="15815" width="16" style="35" customWidth="1"/>
    <col min="15816" max="15817" width="11.42578125" style="35"/>
    <col min="15818" max="15818" width="13.140625" style="35" bestFit="1" customWidth="1"/>
    <col min="15819" max="16047" width="11.42578125" style="35"/>
    <col min="16048" max="16048" width="5.28515625" style="35" customWidth="1"/>
    <col min="16049" max="16049" width="26" style="35" customWidth="1"/>
    <col min="16050" max="16050" width="11.140625" style="35" customWidth="1"/>
    <col min="16051" max="16051" width="21.42578125" style="35" customWidth="1"/>
    <col min="16052" max="16052" width="2.140625" style="35" customWidth="1"/>
    <col min="16053" max="16055" width="2" style="35" customWidth="1"/>
    <col min="16056" max="16056" width="2.42578125" style="35" customWidth="1"/>
    <col min="16057" max="16057" width="2" style="35" customWidth="1"/>
    <col min="16058" max="16059" width="2.42578125" style="35" bestFit="1" customWidth="1"/>
    <col min="16060" max="16063" width="2" style="35" customWidth="1"/>
    <col min="16064" max="16064" width="11.7109375" style="35" customWidth="1"/>
    <col min="16065" max="16065" width="12.140625" style="35" customWidth="1"/>
    <col min="16066" max="16066" width="12.85546875" style="35" customWidth="1"/>
    <col min="16067" max="16067" width="14" style="35" customWidth="1"/>
    <col min="16068" max="16068" width="10.5703125" style="35" customWidth="1"/>
    <col min="16069" max="16069" width="12.140625" style="35" customWidth="1"/>
    <col min="16070" max="16070" width="7.42578125" style="35" customWidth="1"/>
    <col min="16071" max="16071" width="16" style="35" customWidth="1"/>
    <col min="16072" max="16073" width="11.42578125" style="35"/>
    <col min="16074" max="16074" width="13.140625" style="35" bestFit="1" customWidth="1"/>
    <col min="16075" max="16384" width="11.42578125" style="35"/>
  </cols>
  <sheetData>
    <row r="1" spans="1:23" s="34" customFormat="1" ht="18" customHeight="1" x14ac:dyDescent="0.2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1"/>
      <c r="W1" s="251"/>
    </row>
    <row r="2" spans="1:23" s="34" customFormat="1" ht="15.75" customHeight="1" x14ac:dyDescent="0.2">
      <c r="A2" s="258" t="s">
        <v>185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1"/>
      <c r="W2" s="251"/>
    </row>
    <row r="3" spans="1:23" s="34" customFormat="1" ht="15.75" customHeight="1" x14ac:dyDescent="0.2">
      <c r="A3" s="258" t="s">
        <v>395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1"/>
      <c r="W3" s="251"/>
    </row>
    <row r="4" spans="1:23" x14ac:dyDescent="0.2">
      <c r="A4" s="252" t="s">
        <v>168</v>
      </c>
      <c r="B4" s="252"/>
      <c r="C4" s="253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4"/>
      <c r="U4" s="254"/>
      <c r="V4" s="254"/>
      <c r="W4" s="254"/>
    </row>
    <row r="5" spans="1:23" ht="17.25" customHeight="1" x14ac:dyDescent="0.2">
      <c r="A5" s="252" t="s">
        <v>169</v>
      </c>
      <c r="B5" s="252"/>
      <c r="C5" s="253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4"/>
      <c r="U5" s="254"/>
      <c r="V5" s="254"/>
      <c r="W5" s="254"/>
    </row>
    <row r="6" spans="1:23" s="36" customFormat="1" ht="18" customHeight="1" x14ac:dyDescent="0.25">
      <c r="A6" s="259" t="s">
        <v>5</v>
      </c>
      <c r="B6" s="261" t="s">
        <v>177</v>
      </c>
      <c r="C6" s="261" t="s">
        <v>127</v>
      </c>
      <c r="D6" s="263" t="s">
        <v>6</v>
      </c>
      <c r="E6" s="261" t="s">
        <v>7</v>
      </c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 t="s">
        <v>128</v>
      </c>
      <c r="R6" s="261" t="s">
        <v>339</v>
      </c>
      <c r="S6" s="272" t="s">
        <v>344</v>
      </c>
      <c r="T6" s="272"/>
      <c r="U6" s="272"/>
    </row>
    <row r="7" spans="1:23" s="57" customFormat="1" ht="21.75" customHeight="1" x14ac:dyDescent="0.25">
      <c r="A7" s="260"/>
      <c r="B7" s="262"/>
      <c r="C7" s="262"/>
      <c r="D7" s="263"/>
      <c r="E7" s="233" t="s">
        <v>8</v>
      </c>
      <c r="F7" s="233" t="s">
        <v>9</v>
      </c>
      <c r="G7" s="233" t="s">
        <v>10</v>
      </c>
      <c r="H7" s="233" t="s">
        <v>11</v>
      </c>
      <c r="I7" s="233" t="s">
        <v>10</v>
      </c>
      <c r="J7" s="233" t="s">
        <v>12</v>
      </c>
      <c r="K7" s="233" t="s">
        <v>12</v>
      </c>
      <c r="L7" s="233" t="s">
        <v>11</v>
      </c>
      <c r="M7" s="233" t="s">
        <v>13</v>
      </c>
      <c r="N7" s="233" t="s">
        <v>14</v>
      </c>
      <c r="O7" s="233" t="s">
        <v>15</v>
      </c>
      <c r="P7" s="233" t="s">
        <v>16</v>
      </c>
      <c r="Q7" s="264"/>
      <c r="R7" s="264"/>
      <c r="S7" s="232" t="s">
        <v>17</v>
      </c>
      <c r="T7" s="232" t="s">
        <v>18</v>
      </c>
      <c r="U7" s="160" t="s">
        <v>19</v>
      </c>
    </row>
    <row r="8" spans="1:23" ht="27.75" customHeight="1" x14ac:dyDescent="0.2">
      <c r="A8" s="270">
        <v>1.3</v>
      </c>
      <c r="B8" s="273" t="s">
        <v>170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5"/>
    </row>
    <row r="9" spans="1:23" s="43" customFormat="1" ht="116.25" customHeight="1" thickBot="1" x14ac:dyDescent="0.25">
      <c r="A9" s="271"/>
      <c r="B9" s="246" t="s">
        <v>159</v>
      </c>
      <c r="C9" s="246" t="s">
        <v>21</v>
      </c>
      <c r="D9" s="247" t="s">
        <v>157</v>
      </c>
      <c r="E9" s="248" t="s">
        <v>186</v>
      </c>
      <c r="F9" s="248"/>
      <c r="G9" s="248" t="s">
        <v>186</v>
      </c>
      <c r="H9" s="246"/>
      <c r="I9" s="248" t="s">
        <v>186</v>
      </c>
      <c r="J9" s="246"/>
      <c r="K9" s="248" t="s">
        <v>186</v>
      </c>
      <c r="L9" s="246"/>
      <c r="M9" s="248" t="s">
        <v>186</v>
      </c>
      <c r="N9" s="246"/>
      <c r="O9" s="248" t="s">
        <v>186</v>
      </c>
      <c r="P9" s="246"/>
      <c r="Q9" s="246" t="s">
        <v>87</v>
      </c>
      <c r="R9" s="246" t="s">
        <v>158</v>
      </c>
      <c r="S9" s="246">
        <v>1</v>
      </c>
      <c r="T9" s="249">
        <v>54.66</v>
      </c>
      <c r="U9" s="250">
        <v>327.97</v>
      </c>
    </row>
    <row r="10" spans="1:23" ht="15.75" thickBot="1" x14ac:dyDescent="0.25">
      <c r="A10" s="267" t="s">
        <v>343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9"/>
      <c r="T10" s="265">
        <f>SUM(U9)</f>
        <v>327.97</v>
      </c>
      <c r="U10" s="266"/>
    </row>
    <row r="12" spans="1:23" x14ac:dyDescent="0.2">
      <c r="A12" s="43"/>
      <c r="B12" s="214"/>
      <c r="C12" s="215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43"/>
      <c r="R12" s="50"/>
      <c r="S12" s="43"/>
      <c r="T12" s="43"/>
      <c r="U12" s="43"/>
    </row>
    <row r="13" spans="1:23" x14ac:dyDescent="0.2">
      <c r="A13" s="43"/>
      <c r="B13" s="214"/>
      <c r="C13" s="215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43"/>
      <c r="R13" s="50"/>
      <c r="S13" s="43"/>
      <c r="T13" s="43"/>
      <c r="U13" s="43"/>
    </row>
  </sheetData>
  <mergeCells count="15">
    <mergeCell ref="T10:U10"/>
    <mergeCell ref="A10:S10"/>
    <mergeCell ref="A8:A9"/>
    <mergeCell ref="S6:U6"/>
    <mergeCell ref="B8:U8"/>
    <mergeCell ref="A1:U1"/>
    <mergeCell ref="A2:U2"/>
    <mergeCell ref="A3:U3"/>
    <mergeCell ref="A6:A7"/>
    <mergeCell ref="B6:B7"/>
    <mergeCell ref="C6:C7"/>
    <mergeCell ref="D6:D7"/>
    <mergeCell ref="E6:P6"/>
    <mergeCell ref="Q6:Q7"/>
    <mergeCell ref="R6:R7"/>
  </mergeCells>
  <printOptions horizontalCentered="1" verticalCentered="1"/>
  <pageMargins left="0.25" right="0.25" top="0.75" bottom="0.75" header="0.3" footer="0.3"/>
  <pageSetup paperSize="5" scale="9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X87"/>
  <sheetViews>
    <sheetView showGridLines="0" topLeftCell="A78" zoomScale="90" zoomScaleNormal="90" zoomScaleSheetLayoutView="90" zoomScalePageLayoutView="90" workbookViewId="0">
      <selection activeCell="T87" sqref="T87:U87"/>
    </sheetView>
  </sheetViews>
  <sheetFormatPr baseColWidth="10" defaultRowHeight="14.25" x14ac:dyDescent="0.2"/>
  <cols>
    <col min="1" max="1" width="7.5703125" style="4" customWidth="1"/>
    <col min="2" max="2" width="34" style="8" customWidth="1"/>
    <col min="3" max="3" width="26.42578125" style="9" customWidth="1"/>
    <col min="4" max="4" width="38" style="9" customWidth="1"/>
    <col min="5" max="16" width="2.28515625" style="9" customWidth="1"/>
    <col min="17" max="17" width="15" style="18" bestFit="1" customWidth="1"/>
    <col min="18" max="18" width="21.5703125" style="9" customWidth="1"/>
    <col min="19" max="19" width="8.85546875" style="4" bestFit="1" customWidth="1"/>
    <col min="20" max="20" width="13.85546875" style="4" bestFit="1" customWidth="1"/>
    <col min="21" max="21" width="19.85546875" style="4" bestFit="1" customWidth="1"/>
    <col min="22" max="22" width="28.42578125" style="4" bestFit="1" customWidth="1"/>
    <col min="23" max="256" width="11.42578125" style="4"/>
    <col min="257" max="257" width="5.140625" style="4" customWidth="1"/>
    <col min="258" max="258" width="24.42578125" style="4" bestFit="1" customWidth="1"/>
    <col min="259" max="259" width="21.42578125" style="4" bestFit="1" customWidth="1"/>
    <col min="260" max="260" width="26.5703125" style="4" customWidth="1"/>
    <col min="261" max="272" width="2.140625" style="4" customWidth="1"/>
    <col min="273" max="273" width="20.85546875" style="4" bestFit="1" customWidth="1"/>
    <col min="274" max="274" width="17.140625" style="4" customWidth="1"/>
    <col min="275" max="275" width="10.85546875" style="4" bestFit="1" customWidth="1"/>
    <col min="276" max="276" width="11.42578125" style="4"/>
    <col min="277" max="277" width="13" style="4" customWidth="1"/>
    <col min="278" max="278" width="28.42578125" style="4" bestFit="1" customWidth="1"/>
    <col min="279" max="512" width="11.42578125" style="4"/>
    <col min="513" max="513" width="5.140625" style="4" customWidth="1"/>
    <col min="514" max="514" width="24.42578125" style="4" bestFit="1" customWidth="1"/>
    <col min="515" max="515" width="21.42578125" style="4" bestFit="1" customWidth="1"/>
    <col min="516" max="516" width="26.5703125" style="4" customWidth="1"/>
    <col min="517" max="528" width="2.140625" style="4" customWidth="1"/>
    <col min="529" max="529" width="20.85546875" style="4" bestFit="1" customWidth="1"/>
    <col min="530" max="530" width="17.140625" style="4" customWidth="1"/>
    <col min="531" max="531" width="10.85546875" style="4" bestFit="1" customWidth="1"/>
    <col min="532" max="532" width="11.42578125" style="4"/>
    <col min="533" max="533" width="13" style="4" customWidth="1"/>
    <col min="534" max="534" width="28.42578125" style="4" bestFit="1" customWidth="1"/>
    <col min="535" max="768" width="11.42578125" style="4"/>
    <col min="769" max="769" width="5.140625" style="4" customWidth="1"/>
    <col min="770" max="770" width="24.42578125" style="4" bestFit="1" customWidth="1"/>
    <col min="771" max="771" width="21.42578125" style="4" bestFit="1" customWidth="1"/>
    <col min="772" max="772" width="26.5703125" style="4" customWidth="1"/>
    <col min="773" max="784" width="2.140625" style="4" customWidth="1"/>
    <col min="785" max="785" width="20.85546875" style="4" bestFit="1" customWidth="1"/>
    <col min="786" max="786" width="17.140625" style="4" customWidth="1"/>
    <col min="787" max="787" width="10.85546875" style="4" bestFit="1" customWidth="1"/>
    <col min="788" max="788" width="11.42578125" style="4"/>
    <col min="789" max="789" width="13" style="4" customWidth="1"/>
    <col min="790" max="790" width="28.42578125" style="4" bestFit="1" customWidth="1"/>
    <col min="791" max="1024" width="11.42578125" style="4"/>
    <col min="1025" max="1025" width="5.140625" style="4" customWidth="1"/>
    <col min="1026" max="1026" width="24.42578125" style="4" bestFit="1" customWidth="1"/>
    <col min="1027" max="1027" width="21.42578125" style="4" bestFit="1" customWidth="1"/>
    <col min="1028" max="1028" width="26.5703125" style="4" customWidth="1"/>
    <col min="1029" max="1040" width="2.140625" style="4" customWidth="1"/>
    <col min="1041" max="1041" width="20.85546875" style="4" bestFit="1" customWidth="1"/>
    <col min="1042" max="1042" width="17.140625" style="4" customWidth="1"/>
    <col min="1043" max="1043" width="10.85546875" style="4" bestFit="1" customWidth="1"/>
    <col min="1044" max="1044" width="11.42578125" style="4"/>
    <col min="1045" max="1045" width="13" style="4" customWidth="1"/>
    <col min="1046" max="1046" width="28.42578125" style="4" bestFit="1" customWidth="1"/>
    <col min="1047" max="1280" width="11.42578125" style="4"/>
    <col min="1281" max="1281" width="5.140625" style="4" customWidth="1"/>
    <col min="1282" max="1282" width="24.42578125" style="4" bestFit="1" customWidth="1"/>
    <col min="1283" max="1283" width="21.42578125" style="4" bestFit="1" customWidth="1"/>
    <col min="1284" max="1284" width="26.5703125" style="4" customWidth="1"/>
    <col min="1285" max="1296" width="2.140625" style="4" customWidth="1"/>
    <col min="1297" max="1297" width="20.85546875" style="4" bestFit="1" customWidth="1"/>
    <col min="1298" max="1298" width="17.140625" style="4" customWidth="1"/>
    <col min="1299" max="1299" width="10.85546875" style="4" bestFit="1" customWidth="1"/>
    <col min="1300" max="1300" width="11.42578125" style="4"/>
    <col min="1301" max="1301" width="13" style="4" customWidth="1"/>
    <col min="1302" max="1302" width="28.42578125" style="4" bestFit="1" customWidth="1"/>
    <col min="1303" max="1536" width="11.42578125" style="4"/>
    <col min="1537" max="1537" width="5.140625" style="4" customWidth="1"/>
    <col min="1538" max="1538" width="24.42578125" style="4" bestFit="1" customWidth="1"/>
    <col min="1539" max="1539" width="21.42578125" style="4" bestFit="1" customWidth="1"/>
    <col min="1540" max="1540" width="26.5703125" style="4" customWidth="1"/>
    <col min="1541" max="1552" width="2.140625" style="4" customWidth="1"/>
    <col min="1553" max="1553" width="20.85546875" style="4" bestFit="1" customWidth="1"/>
    <col min="1554" max="1554" width="17.140625" style="4" customWidth="1"/>
    <col min="1555" max="1555" width="10.85546875" style="4" bestFit="1" customWidth="1"/>
    <col min="1556" max="1556" width="11.42578125" style="4"/>
    <col min="1557" max="1557" width="13" style="4" customWidth="1"/>
    <col min="1558" max="1558" width="28.42578125" style="4" bestFit="1" customWidth="1"/>
    <col min="1559" max="1792" width="11.42578125" style="4"/>
    <col min="1793" max="1793" width="5.140625" style="4" customWidth="1"/>
    <col min="1794" max="1794" width="24.42578125" style="4" bestFit="1" customWidth="1"/>
    <col min="1795" max="1795" width="21.42578125" style="4" bestFit="1" customWidth="1"/>
    <col min="1796" max="1796" width="26.5703125" style="4" customWidth="1"/>
    <col min="1797" max="1808" width="2.140625" style="4" customWidth="1"/>
    <col min="1809" max="1809" width="20.85546875" style="4" bestFit="1" customWidth="1"/>
    <col min="1810" max="1810" width="17.140625" style="4" customWidth="1"/>
    <col min="1811" max="1811" width="10.85546875" style="4" bestFit="1" customWidth="1"/>
    <col min="1812" max="1812" width="11.42578125" style="4"/>
    <col min="1813" max="1813" width="13" style="4" customWidth="1"/>
    <col min="1814" max="1814" width="28.42578125" style="4" bestFit="1" customWidth="1"/>
    <col min="1815" max="2048" width="11.42578125" style="4"/>
    <col min="2049" max="2049" width="5.140625" style="4" customWidth="1"/>
    <col min="2050" max="2050" width="24.42578125" style="4" bestFit="1" customWidth="1"/>
    <col min="2051" max="2051" width="21.42578125" style="4" bestFit="1" customWidth="1"/>
    <col min="2052" max="2052" width="26.5703125" style="4" customWidth="1"/>
    <col min="2053" max="2064" width="2.140625" style="4" customWidth="1"/>
    <col min="2065" max="2065" width="20.85546875" style="4" bestFit="1" customWidth="1"/>
    <col min="2066" max="2066" width="17.140625" style="4" customWidth="1"/>
    <col min="2067" max="2067" width="10.85546875" style="4" bestFit="1" customWidth="1"/>
    <col min="2068" max="2068" width="11.42578125" style="4"/>
    <col min="2069" max="2069" width="13" style="4" customWidth="1"/>
    <col min="2070" max="2070" width="28.42578125" style="4" bestFit="1" customWidth="1"/>
    <col min="2071" max="2304" width="11.42578125" style="4"/>
    <col min="2305" max="2305" width="5.140625" style="4" customWidth="1"/>
    <col min="2306" max="2306" width="24.42578125" style="4" bestFit="1" customWidth="1"/>
    <col min="2307" max="2307" width="21.42578125" style="4" bestFit="1" customWidth="1"/>
    <col min="2308" max="2308" width="26.5703125" style="4" customWidth="1"/>
    <col min="2309" max="2320" width="2.140625" style="4" customWidth="1"/>
    <col min="2321" max="2321" width="20.85546875" style="4" bestFit="1" customWidth="1"/>
    <col min="2322" max="2322" width="17.140625" style="4" customWidth="1"/>
    <col min="2323" max="2323" width="10.85546875" style="4" bestFit="1" customWidth="1"/>
    <col min="2324" max="2324" width="11.42578125" style="4"/>
    <col min="2325" max="2325" width="13" style="4" customWidth="1"/>
    <col min="2326" max="2326" width="28.42578125" style="4" bestFit="1" customWidth="1"/>
    <col min="2327" max="2560" width="11.42578125" style="4"/>
    <col min="2561" max="2561" width="5.140625" style="4" customWidth="1"/>
    <col min="2562" max="2562" width="24.42578125" style="4" bestFit="1" customWidth="1"/>
    <col min="2563" max="2563" width="21.42578125" style="4" bestFit="1" customWidth="1"/>
    <col min="2564" max="2564" width="26.5703125" style="4" customWidth="1"/>
    <col min="2565" max="2576" width="2.140625" style="4" customWidth="1"/>
    <col min="2577" max="2577" width="20.85546875" style="4" bestFit="1" customWidth="1"/>
    <col min="2578" max="2578" width="17.140625" style="4" customWidth="1"/>
    <col min="2579" max="2579" width="10.85546875" style="4" bestFit="1" customWidth="1"/>
    <col min="2580" max="2580" width="11.42578125" style="4"/>
    <col min="2581" max="2581" width="13" style="4" customWidth="1"/>
    <col min="2582" max="2582" width="28.42578125" style="4" bestFit="1" customWidth="1"/>
    <col min="2583" max="2816" width="11.42578125" style="4"/>
    <col min="2817" max="2817" width="5.140625" style="4" customWidth="1"/>
    <col min="2818" max="2818" width="24.42578125" style="4" bestFit="1" customWidth="1"/>
    <col min="2819" max="2819" width="21.42578125" style="4" bestFit="1" customWidth="1"/>
    <col min="2820" max="2820" width="26.5703125" style="4" customWidth="1"/>
    <col min="2821" max="2832" width="2.140625" style="4" customWidth="1"/>
    <col min="2833" max="2833" width="20.85546875" style="4" bestFit="1" customWidth="1"/>
    <col min="2834" max="2834" width="17.140625" style="4" customWidth="1"/>
    <col min="2835" max="2835" width="10.85546875" style="4" bestFit="1" customWidth="1"/>
    <col min="2836" max="2836" width="11.42578125" style="4"/>
    <col min="2837" max="2837" width="13" style="4" customWidth="1"/>
    <col min="2838" max="2838" width="28.42578125" style="4" bestFit="1" customWidth="1"/>
    <col min="2839" max="3072" width="11.42578125" style="4"/>
    <col min="3073" max="3073" width="5.140625" style="4" customWidth="1"/>
    <col min="3074" max="3074" width="24.42578125" style="4" bestFit="1" customWidth="1"/>
    <col min="3075" max="3075" width="21.42578125" style="4" bestFit="1" customWidth="1"/>
    <col min="3076" max="3076" width="26.5703125" style="4" customWidth="1"/>
    <col min="3077" max="3088" width="2.140625" style="4" customWidth="1"/>
    <col min="3089" max="3089" width="20.85546875" style="4" bestFit="1" customWidth="1"/>
    <col min="3090" max="3090" width="17.140625" style="4" customWidth="1"/>
    <col min="3091" max="3091" width="10.85546875" style="4" bestFit="1" customWidth="1"/>
    <col min="3092" max="3092" width="11.42578125" style="4"/>
    <col min="3093" max="3093" width="13" style="4" customWidth="1"/>
    <col min="3094" max="3094" width="28.42578125" style="4" bestFit="1" customWidth="1"/>
    <col min="3095" max="3328" width="11.42578125" style="4"/>
    <col min="3329" max="3329" width="5.140625" style="4" customWidth="1"/>
    <col min="3330" max="3330" width="24.42578125" style="4" bestFit="1" customWidth="1"/>
    <col min="3331" max="3331" width="21.42578125" style="4" bestFit="1" customWidth="1"/>
    <col min="3332" max="3332" width="26.5703125" style="4" customWidth="1"/>
    <col min="3333" max="3344" width="2.140625" style="4" customWidth="1"/>
    <col min="3345" max="3345" width="20.85546875" style="4" bestFit="1" customWidth="1"/>
    <col min="3346" max="3346" width="17.140625" style="4" customWidth="1"/>
    <col min="3347" max="3347" width="10.85546875" style="4" bestFit="1" customWidth="1"/>
    <col min="3348" max="3348" width="11.42578125" style="4"/>
    <col min="3349" max="3349" width="13" style="4" customWidth="1"/>
    <col min="3350" max="3350" width="28.42578125" style="4" bestFit="1" customWidth="1"/>
    <col min="3351" max="3584" width="11.42578125" style="4"/>
    <col min="3585" max="3585" width="5.140625" style="4" customWidth="1"/>
    <col min="3586" max="3586" width="24.42578125" style="4" bestFit="1" customWidth="1"/>
    <col min="3587" max="3587" width="21.42578125" style="4" bestFit="1" customWidth="1"/>
    <col min="3588" max="3588" width="26.5703125" style="4" customWidth="1"/>
    <col min="3589" max="3600" width="2.140625" style="4" customWidth="1"/>
    <col min="3601" max="3601" width="20.85546875" style="4" bestFit="1" customWidth="1"/>
    <col min="3602" max="3602" width="17.140625" style="4" customWidth="1"/>
    <col min="3603" max="3603" width="10.85546875" style="4" bestFit="1" customWidth="1"/>
    <col min="3604" max="3604" width="11.42578125" style="4"/>
    <col min="3605" max="3605" width="13" style="4" customWidth="1"/>
    <col min="3606" max="3606" width="28.42578125" style="4" bestFit="1" customWidth="1"/>
    <col min="3607" max="3840" width="11.42578125" style="4"/>
    <col min="3841" max="3841" width="5.140625" style="4" customWidth="1"/>
    <col min="3842" max="3842" width="24.42578125" style="4" bestFit="1" customWidth="1"/>
    <col min="3843" max="3843" width="21.42578125" style="4" bestFit="1" customWidth="1"/>
    <col min="3844" max="3844" width="26.5703125" style="4" customWidth="1"/>
    <col min="3845" max="3856" width="2.140625" style="4" customWidth="1"/>
    <col min="3857" max="3857" width="20.85546875" style="4" bestFit="1" customWidth="1"/>
    <col min="3858" max="3858" width="17.140625" style="4" customWidth="1"/>
    <col min="3859" max="3859" width="10.85546875" style="4" bestFit="1" customWidth="1"/>
    <col min="3860" max="3860" width="11.42578125" style="4"/>
    <col min="3861" max="3861" width="13" style="4" customWidth="1"/>
    <col min="3862" max="3862" width="28.42578125" style="4" bestFit="1" customWidth="1"/>
    <col min="3863" max="4096" width="11.42578125" style="4"/>
    <col min="4097" max="4097" width="5.140625" style="4" customWidth="1"/>
    <col min="4098" max="4098" width="24.42578125" style="4" bestFit="1" customWidth="1"/>
    <col min="4099" max="4099" width="21.42578125" style="4" bestFit="1" customWidth="1"/>
    <col min="4100" max="4100" width="26.5703125" style="4" customWidth="1"/>
    <col min="4101" max="4112" width="2.140625" style="4" customWidth="1"/>
    <col min="4113" max="4113" width="20.85546875" style="4" bestFit="1" customWidth="1"/>
    <col min="4114" max="4114" width="17.140625" style="4" customWidth="1"/>
    <col min="4115" max="4115" width="10.85546875" style="4" bestFit="1" customWidth="1"/>
    <col min="4116" max="4116" width="11.42578125" style="4"/>
    <col min="4117" max="4117" width="13" style="4" customWidth="1"/>
    <col min="4118" max="4118" width="28.42578125" style="4" bestFit="1" customWidth="1"/>
    <col min="4119" max="4352" width="11.42578125" style="4"/>
    <col min="4353" max="4353" width="5.140625" style="4" customWidth="1"/>
    <col min="4354" max="4354" width="24.42578125" style="4" bestFit="1" customWidth="1"/>
    <col min="4355" max="4355" width="21.42578125" style="4" bestFit="1" customWidth="1"/>
    <col min="4356" max="4356" width="26.5703125" style="4" customWidth="1"/>
    <col min="4357" max="4368" width="2.140625" style="4" customWidth="1"/>
    <col min="4369" max="4369" width="20.85546875" style="4" bestFit="1" customWidth="1"/>
    <col min="4370" max="4370" width="17.140625" style="4" customWidth="1"/>
    <col min="4371" max="4371" width="10.85546875" style="4" bestFit="1" customWidth="1"/>
    <col min="4372" max="4372" width="11.42578125" style="4"/>
    <col min="4373" max="4373" width="13" style="4" customWidth="1"/>
    <col min="4374" max="4374" width="28.42578125" style="4" bestFit="1" customWidth="1"/>
    <col min="4375" max="4608" width="11.42578125" style="4"/>
    <col min="4609" max="4609" width="5.140625" style="4" customWidth="1"/>
    <col min="4610" max="4610" width="24.42578125" style="4" bestFit="1" customWidth="1"/>
    <col min="4611" max="4611" width="21.42578125" style="4" bestFit="1" customWidth="1"/>
    <col min="4612" max="4612" width="26.5703125" style="4" customWidth="1"/>
    <col min="4613" max="4624" width="2.140625" style="4" customWidth="1"/>
    <col min="4625" max="4625" width="20.85546875" style="4" bestFit="1" customWidth="1"/>
    <col min="4626" max="4626" width="17.140625" style="4" customWidth="1"/>
    <col min="4627" max="4627" width="10.85546875" style="4" bestFit="1" customWidth="1"/>
    <col min="4628" max="4628" width="11.42578125" style="4"/>
    <col min="4629" max="4629" width="13" style="4" customWidth="1"/>
    <col min="4630" max="4630" width="28.42578125" style="4" bestFit="1" customWidth="1"/>
    <col min="4631" max="4864" width="11.42578125" style="4"/>
    <col min="4865" max="4865" width="5.140625" style="4" customWidth="1"/>
    <col min="4866" max="4866" width="24.42578125" style="4" bestFit="1" customWidth="1"/>
    <col min="4867" max="4867" width="21.42578125" style="4" bestFit="1" customWidth="1"/>
    <col min="4868" max="4868" width="26.5703125" style="4" customWidth="1"/>
    <col min="4869" max="4880" width="2.140625" style="4" customWidth="1"/>
    <col min="4881" max="4881" width="20.85546875" style="4" bestFit="1" customWidth="1"/>
    <col min="4882" max="4882" width="17.140625" style="4" customWidth="1"/>
    <col min="4883" max="4883" width="10.85546875" style="4" bestFit="1" customWidth="1"/>
    <col min="4884" max="4884" width="11.42578125" style="4"/>
    <col min="4885" max="4885" width="13" style="4" customWidth="1"/>
    <col min="4886" max="4886" width="28.42578125" style="4" bestFit="1" customWidth="1"/>
    <col min="4887" max="5120" width="11.42578125" style="4"/>
    <col min="5121" max="5121" width="5.140625" style="4" customWidth="1"/>
    <col min="5122" max="5122" width="24.42578125" style="4" bestFit="1" customWidth="1"/>
    <col min="5123" max="5123" width="21.42578125" style="4" bestFit="1" customWidth="1"/>
    <col min="5124" max="5124" width="26.5703125" style="4" customWidth="1"/>
    <col min="5125" max="5136" width="2.140625" style="4" customWidth="1"/>
    <col min="5137" max="5137" width="20.85546875" style="4" bestFit="1" customWidth="1"/>
    <col min="5138" max="5138" width="17.140625" style="4" customWidth="1"/>
    <col min="5139" max="5139" width="10.85546875" style="4" bestFit="1" customWidth="1"/>
    <col min="5140" max="5140" width="11.42578125" style="4"/>
    <col min="5141" max="5141" width="13" style="4" customWidth="1"/>
    <col min="5142" max="5142" width="28.42578125" style="4" bestFit="1" customWidth="1"/>
    <col min="5143" max="5376" width="11.42578125" style="4"/>
    <col min="5377" max="5377" width="5.140625" style="4" customWidth="1"/>
    <col min="5378" max="5378" width="24.42578125" style="4" bestFit="1" customWidth="1"/>
    <col min="5379" max="5379" width="21.42578125" style="4" bestFit="1" customWidth="1"/>
    <col min="5380" max="5380" width="26.5703125" style="4" customWidth="1"/>
    <col min="5381" max="5392" width="2.140625" style="4" customWidth="1"/>
    <col min="5393" max="5393" width="20.85546875" style="4" bestFit="1" customWidth="1"/>
    <col min="5394" max="5394" width="17.140625" style="4" customWidth="1"/>
    <col min="5395" max="5395" width="10.85546875" style="4" bestFit="1" customWidth="1"/>
    <col min="5396" max="5396" width="11.42578125" style="4"/>
    <col min="5397" max="5397" width="13" style="4" customWidth="1"/>
    <col min="5398" max="5398" width="28.42578125" style="4" bestFit="1" customWidth="1"/>
    <col min="5399" max="5632" width="11.42578125" style="4"/>
    <col min="5633" max="5633" width="5.140625" style="4" customWidth="1"/>
    <col min="5634" max="5634" width="24.42578125" style="4" bestFit="1" customWidth="1"/>
    <col min="5635" max="5635" width="21.42578125" style="4" bestFit="1" customWidth="1"/>
    <col min="5636" max="5636" width="26.5703125" style="4" customWidth="1"/>
    <col min="5637" max="5648" width="2.140625" style="4" customWidth="1"/>
    <col min="5649" max="5649" width="20.85546875" style="4" bestFit="1" customWidth="1"/>
    <col min="5650" max="5650" width="17.140625" style="4" customWidth="1"/>
    <col min="5651" max="5651" width="10.85546875" style="4" bestFit="1" customWidth="1"/>
    <col min="5652" max="5652" width="11.42578125" style="4"/>
    <col min="5653" max="5653" width="13" style="4" customWidth="1"/>
    <col min="5654" max="5654" width="28.42578125" style="4" bestFit="1" customWidth="1"/>
    <col min="5655" max="5888" width="11.42578125" style="4"/>
    <col min="5889" max="5889" width="5.140625" style="4" customWidth="1"/>
    <col min="5890" max="5890" width="24.42578125" style="4" bestFit="1" customWidth="1"/>
    <col min="5891" max="5891" width="21.42578125" style="4" bestFit="1" customWidth="1"/>
    <col min="5892" max="5892" width="26.5703125" style="4" customWidth="1"/>
    <col min="5893" max="5904" width="2.140625" style="4" customWidth="1"/>
    <col min="5905" max="5905" width="20.85546875" style="4" bestFit="1" customWidth="1"/>
    <col min="5906" max="5906" width="17.140625" style="4" customWidth="1"/>
    <col min="5907" max="5907" width="10.85546875" style="4" bestFit="1" customWidth="1"/>
    <col min="5908" max="5908" width="11.42578125" style="4"/>
    <col min="5909" max="5909" width="13" style="4" customWidth="1"/>
    <col min="5910" max="5910" width="28.42578125" style="4" bestFit="1" customWidth="1"/>
    <col min="5911" max="6144" width="11.42578125" style="4"/>
    <col min="6145" max="6145" width="5.140625" style="4" customWidth="1"/>
    <col min="6146" max="6146" width="24.42578125" style="4" bestFit="1" customWidth="1"/>
    <col min="6147" max="6147" width="21.42578125" style="4" bestFit="1" customWidth="1"/>
    <col min="6148" max="6148" width="26.5703125" style="4" customWidth="1"/>
    <col min="6149" max="6160" width="2.140625" style="4" customWidth="1"/>
    <col min="6161" max="6161" width="20.85546875" style="4" bestFit="1" customWidth="1"/>
    <col min="6162" max="6162" width="17.140625" style="4" customWidth="1"/>
    <col min="6163" max="6163" width="10.85546875" style="4" bestFit="1" customWidth="1"/>
    <col min="6164" max="6164" width="11.42578125" style="4"/>
    <col min="6165" max="6165" width="13" style="4" customWidth="1"/>
    <col min="6166" max="6166" width="28.42578125" style="4" bestFit="1" customWidth="1"/>
    <col min="6167" max="6400" width="11.42578125" style="4"/>
    <col min="6401" max="6401" width="5.140625" style="4" customWidth="1"/>
    <col min="6402" max="6402" width="24.42578125" style="4" bestFit="1" customWidth="1"/>
    <col min="6403" max="6403" width="21.42578125" style="4" bestFit="1" customWidth="1"/>
    <col min="6404" max="6404" width="26.5703125" style="4" customWidth="1"/>
    <col min="6405" max="6416" width="2.140625" style="4" customWidth="1"/>
    <col min="6417" max="6417" width="20.85546875" style="4" bestFit="1" customWidth="1"/>
    <col min="6418" max="6418" width="17.140625" style="4" customWidth="1"/>
    <col min="6419" max="6419" width="10.85546875" style="4" bestFit="1" customWidth="1"/>
    <col min="6420" max="6420" width="11.42578125" style="4"/>
    <col min="6421" max="6421" width="13" style="4" customWidth="1"/>
    <col min="6422" max="6422" width="28.42578125" style="4" bestFit="1" customWidth="1"/>
    <col min="6423" max="6656" width="11.42578125" style="4"/>
    <col min="6657" max="6657" width="5.140625" style="4" customWidth="1"/>
    <col min="6658" max="6658" width="24.42578125" style="4" bestFit="1" customWidth="1"/>
    <col min="6659" max="6659" width="21.42578125" style="4" bestFit="1" customWidth="1"/>
    <col min="6660" max="6660" width="26.5703125" style="4" customWidth="1"/>
    <col min="6661" max="6672" width="2.140625" style="4" customWidth="1"/>
    <col min="6673" max="6673" width="20.85546875" style="4" bestFit="1" customWidth="1"/>
    <col min="6674" max="6674" width="17.140625" style="4" customWidth="1"/>
    <col min="6675" max="6675" width="10.85546875" style="4" bestFit="1" customWidth="1"/>
    <col min="6676" max="6676" width="11.42578125" style="4"/>
    <col min="6677" max="6677" width="13" style="4" customWidth="1"/>
    <col min="6678" max="6678" width="28.42578125" style="4" bestFit="1" customWidth="1"/>
    <col min="6679" max="6912" width="11.42578125" style="4"/>
    <col min="6913" max="6913" width="5.140625" style="4" customWidth="1"/>
    <col min="6914" max="6914" width="24.42578125" style="4" bestFit="1" customWidth="1"/>
    <col min="6915" max="6915" width="21.42578125" style="4" bestFit="1" customWidth="1"/>
    <col min="6916" max="6916" width="26.5703125" style="4" customWidth="1"/>
    <col min="6917" max="6928" width="2.140625" style="4" customWidth="1"/>
    <col min="6929" max="6929" width="20.85546875" style="4" bestFit="1" customWidth="1"/>
    <col min="6930" max="6930" width="17.140625" style="4" customWidth="1"/>
    <col min="6931" max="6931" width="10.85546875" style="4" bestFit="1" customWidth="1"/>
    <col min="6932" max="6932" width="11.42578125" style="4"/>
    <col min="6933" max="6933" width="13" style="4" customWidth="1"/>
    <col min="6934" max="6934" width="28.42578125" style="4" bestFit="1" customWidth="1"/>
    <col min="6935" max="7168" width="11.42578125" style="4"/>
    <col min="7169" max="7169" width="5.140625" style="4" customWidth="1"/>
    <col min="7170" max="7170" width="24.42578125" style="4" bestFit="1" customWidth="1"/>
    <col min="7171" max="7171" width="21.42578125" style="4" bestFit="1" customWidth="1"/>
    <col min="7172" max="7172" width="26.5703125" style="4" customWidth="1"/>
    <col min="7173" max="7184" width="2.140625" style="4" customWidth="1"/>
    <col min="7185" max="7185" width="20.85546875" style="4" bestFit="1" customWidth="1"/>
    <col min="7186" max="7186" width="17.140625" style="4" customWidth="1"/>
    <col min="7187" max="7187" width="10.85546875" style="4" bestFit="1" customWidth="1"/>
    <col min="7188" max="7188" width="11.42578125" style="4"/>
    <col min="7189" max="7189" width="13" style="4" customWidth="1"/>
    <col min="7190" max="7190" width="28.42578125" style="4" bestFit="1" customWidth="1"/>
    <col min="7191" max="7424" width="11.42578125" style="4"/>
    <col min="7425" max="7425" width="5.140625" style="4" customWidth="1"/>
    <col min="7426" max="7426" width="24.42578125" style="4" bestFit="1" customWidth="1"/>
    <col min="7427" max="7427" width="21.42578125" style="4" bestFit="1" customWidth="1"/>
    <col min="7428" max="7428" width="26.5703125" style="4" customWidth="1"/>
    <col min="7429" max="7440" width="2.140625" style="4" customWidth="1"/>
    <col min="7441" max="7441" width="20.85546875" style="4" bestFit="1" customWidth="1"/>
    <col min="7442" max="7442" width="17.140625" style="4" customWidth="1"/>
    <col min="7443" max="7443" width="10.85546875" style="4" bestFit="1" customWidth="1"/>
    <col min="7444" max="7444" width="11.42578125" style="4"/>
    <col min="7445" max="7445" width="13" style="4" customWidth="1"/>
    <col min="7446" max="7446" width="28.42578125" style="4" bestFit="1" customWidth="1"/>
    <col min="7447" max="7680" width="11.42578125" style="4"/>
    <col min="7681" max="7681" width="5.140625" style="4" customWidth="1"/>
    <col min="7682" max="7682" width="24.42578125" style="4" bestFit="1" customWidth="1"/>
    <col min="7683" max="7683" width="21.42578125" style="4" bestFit="1" customWidth="1"/>
    <col min="7684" max="7684" width="26.5703125" style="4" customWidth="1"/>
    <col min="7685" max="7696" width="2.140625" style="4" customWidth="1"/>
    <col min="7697" max="7697" width="20.85546875" style="4" bestFit="1" customWidth="1"/>
    <col min="7698" max="7698" width="17.140625" style="4" customWidth="1"/>
    <col min="7699" max="7699" width="10.85546875" style="4" bestFit="1" customWidth="1"/>
    <col min="7700" max="7700" width="11.42578125" style="4"/>
    <col min="7701" max="7701" width="13" style="4" customWidth="1"/>
    <col min="7702" max="7702" width="28.42578125" style="4" bestFit="1" customWidth="1"/>
    <col min="7703" max="7936" width="11.42578125" style="4"/>
    <col min="7937" max="7937" width="5.140625" style="4" customWidth="1"/>
    <col min="7938" max="7938" width="24.42578125" style="4" bestFit="1" customWidth="1"/>
    <col min="7939" max="7939" width="21.42578125" style="4" bestFit="1" customWidth="1"/>
    <col min="7940" max="7940" width="26.5703125" style="4" customWidth="1"/>
    <col min="7941" max="7952" width="2.140625" style="4" customWidth="1"/>
    <col min="7953" max="7953" width="20.85546875" style="4" bestFit="1" customWidth="1"/>
    <col min="7954" max="7954" width="17.140625" style="4" customWidth="1"/>
    <col min="7955" max="7955" width="10.85546875" style="4" bestFit="1" customWidth="1"/>
    <col min="7956" max="7956" width="11.42578125" style="4"/>
    <col min="7957" max="7957" width="13" style="4" customWidth="1"/>
    <col min="7958" max="7958" width="28.42578125" style="4" bestFit="1" customWidth="1"/>
    <col min="7959" max="8192" width="11.42578125" style="4"/>
    <col min="8193" max="8193" width="5.140625" style="4" customWidth="1"/>
    <col min="8194" max="8194" width="24.42578125" style="4" bestFit="1" customWidth="1"/>
    <col min="8195" max="8195" width="21.42578125" style="4" bestFit="1" customWidth="1"/>
    <col min="8196" max="8196" width="26.5703125" style="4" customWidth="1"/>
    <col min="8197" max="8208" width="2.140625" style="4" customWidth="1"/>
    <col min="8209" max="8209" width="20.85546875" style="4" bestFit="1" customWidth="1"/>
    <col min="8210" max="8210" width="17.140625" style="4" customWidth="1"/>
    <col min="8211" max="8211" width="10.85546875" style="4" bestFit="1" customWidth="1"/>
    <col min="8212" max="8212" width="11.42578125" style="4"/>
    <col min="8213" max="8213" width="13" style="4" customWidth="1"/>
    <col min="8214" max="8214" width="28.42578125" style="4" bestFit="1" customWidth="1"/>
    <col min="8215" max="8448" width="11.42578125" style="4"/>
    <col min="8449" max="8449" width="5.140625" style="4" customWidth="1"/>
    <col min="8450" max="8450" width="24.42578125" style="4" bestFit="1" customWidth="1"/>
    <col min="8451" max="8451" width="21.42578125" style="4" bestFit="1" customWidth="1"/>
    <col min="8452" max="8452" width="26.5703125" style="4" customWidth="1"/>
    <col min="8453" max="8464" width="2.140625" style="4" customWidth="1"/>
    <col min="8465" max="8465" width="20.85546875" style="4" bestFit="1" customWidth="1"/>
    <col min="8466" max="8466" width="17.140625" style="4" customWidth="1"/>
    <col min="8467" max="8467" width="10.85546875" style="4" bestFit="1" customWidth="1"/>
    <col min="8468" max="8468" width="11.42578125" style="4"/>
    <col min="8469" max="8469" width="13" style="4" customWidth="1"/>
    <col min="8470" max="8470" width="28.42578125" style="4" bestFit="1" customWidth="1"/>
    <col min="8471" max="8704" width="11.42578125" style="4"/>
    <col min="8705" max="8705" width="5.140625" style="4" customWidth="1"/>
    <col min="8706" max="8706" width="24.42578125" style="4" bestFit="1" customWidth="1"/>
    <col min="8707" max="8707" width="21.42578125" style="4" bestFit="1" customWidth="1"/>
    <col min="8708" max="8708" width="26.5703125" style="4" customWidth="1"/>
    <col min="8709" max="8720" width="2.140625" style="4" customWidth="1"/>
    <col min="8721" max="8721" width="20.85546875" style="4" bestFit="1" customWidth="1"/>
    <col min="8722" max="8722" width="17.140625" style="4" customWidth="1"/>
    <col min="8723" max="8723" width="10.85546875" style="4" bestFit="1" customWidth="1"/>
    <col min="8724" max="8724" width="11.42578125" style="4"/>
    <col min="8725" max="8725" width="13" style="4" customWidth="1"/>
    <col min="8726" max="8726" width="28.42578125" style="4" bestFit="1" customWidth="1"/>
    <col min="8727" max="8960" width="11.42578125" style="4"/>
    <col min="8961" max="8961" width="5.140625" style="4" customWidth="1"/>
    <col min="8962" max="8962" width="24.42578125" style="4" bestFit="1" customWidth="1"/>
    <col min="8963" max="8963" width="21.42578125" style="4" bestFit="1" customWidth="1"/>
    <col min="8964" max="8964" width="26.5703125" style="4" customWidth="1"/>
    <col min="8965" max="8976" width="2.140625" style="4" customWidth="1"/>
    <col min="8977" max="8977" width="20.85546875" style="4" bestFit="1" customWidth="1"/>
    <col min="8978" max="8978" width="17.140625" style="4" customWidth="1"/>
    <col min="8979" max="8979" width="10.85546875" style="4" bestFit="1" customWidth="1"/>
    <col min="8980" max="8980" width="11.42578125" style="4"/>
    <col min="8981" max="8981" width="13" style="4" customWidth="1"/>
    <col min="8982" max="8982" width="28.42578125" style="4" bestFit="1" customWidth="1"/>
    <col min="8983" max="9216" width="11.42578125" style="4"/>
    <col min="9217" max="9217" width="5.140625" style="4" customWidth="1"/>
    <col min="9218" max="9218" width="24.42578125" style="4" bestFit="1" customWidth="1"/>
    <col min="9219" max="9219" width="21.42578125" style="4" bestFit="1" customWidth="1"/>
    <col min="9220" max="9220" width="26.5703125" style="4" customWidth="1"/>
    <col min="9221" max="9232" width="2.140625" style="4" customWidth="1"/>
    <col min="9233" max="9233" width="20.85546875" style="4" bestFit="1" customWidth="1"/>
    <col min="9234" max="9234" width="17.140625" style="4" customWidth="1"/>
    <col min="9235" max="9235" width="10.85546875" style="4" bestFit="1" customWidth="1"/>
    <col min="9236" max="9236" width="11.42578125" style="4"/>
    <col min="9237" max="9237" width="13" style="4" customWidth="1"/>
    <col min="9238" max="9238" width="28.42578125" style="4" bestFit="1" customWidth="1"/>
    <col min="9239" max="9472" width="11.42578125" style="4"/>
    <col min="9473" max="9473" width="5.140625" style="4" customWidth="1"/>
    <col min="9474" max="9474" width="24.42578125" style="4" bestFit="1" customWidth="1"/>
    <col min="9475" max="9475" width="21.42578125" style="4" bestFit="1" customWidth="1"/>
    <col min="9476" max="9476" width="26.5703125" style="4" customWidth="1"/>
    <col min="9477" max="9488" width="2.140625" style="4" customWidth="1"/>
    <col min="9489" max="9489" width="20.85546875" style="4" bestFit="1" customWidth="1"/>
    <col min="9490" max="9490" width="17.140625" style="4" customWidth="1"/>
    <col min="9491" max="9491" width="10.85546875" style="4" bestFit="1" customWidth="1"/>
    <col min="9492" max="9492" width="11.42578125" style="4"/>
    <col min="9493" max="9493" width="13" style="4" customWidth="1"/>
    <col min="9494" max="9494" width="28.42578125" style="4" bestFit="1" customWidth="1"/>
    <col min="9495" max="9728" width="11.42578125" style="4"/>
    <col min="9729" max="9729" width="5.140625" style="4" customWidth="1"/>
    <col min="9730" max="9730" width="24.42578125" style="4" bestFit="1" customWidth="1"/>
    <col min="9731" max="9731" width="21.42578125" style="4" bestFit="1" customWidth="1"/>
    <col min="9732" max="9732" width="26.5703125" style="4" customWidth="1"/>
    <col min="9733" max="9744" width="2.140625" style="4" customWidth="1"/>
    <col min="9745" max="9745" width="20.85546875" style="4" bestFit="1" customWidth="1"/>
    <col min="9746" max="9746" width="17.140625" style="4" customWidth="1"/>
    <col min="9747" max="9747" width="10.85546875" style="4" bestFit="1" customWidth="1"/>
    <col min="9748" max="9748" width="11.42578125" style="4"/>
    <col min="9749" max="9749" width="13" style="4" customWidth="1"/>
    <col min="9750" max="9750" width="28.42578125" style="4" bestFit="1" customWidth="1"/>
    <col min="9751" max="9984" width="11.42578125" style="4"/>
    <col min="9985" max="9985" width="5.140625" style="4" customWidth="1"/>
    <col min="9986" max="9986" width="24.42578125" style="4" bestFit="1" customWidth="1"/>
    <col min="9987" max="9987" width="21.42578125" style="4" bestFit="1" customWidth="1"/>
    <col min="9988" max="9988" width="26.5703125" style="4" customWidth="1"/>
    <col min="9989" max="10000" width="2.140625" style="4" customWidth="1"/>
    <col min="10001" max="10001" width="20.85546875" style="4" bestFit="1" customWidth="1"/>
    <col min="10002" max="10002" width="17.140625" style="4" customWidth="1"/>
    <col min="10003" max="10003" width="10.85546875" style="4" bestFit="1" customWidth="1"/>
    <col min="10004" max="10004" width="11.42578125" style="4"/>
    <col min="10005" max="10005" width="13" style="4" customWidth="1"/>
    <col min="10006" max="10006" width="28.42578125" style="4" bestFit="1" customWidth="1"/>
    <col min="10007" max="10240" width="11.42578125" style="4"/>
    <col min="10241" max="10241" width="5.140625" style="4" customWidth="1"/>
    <col min="10242" max="10242" width="24.42578125" style="4" bestFit="1" customWidth="1"/>
    <col min="10243" max="10243" width="21.42578125" style="4" bestFit="1" customWidth="1"/>
    <col min="10244" max="10244" width="26.5703125" style="4" customWidth="1"/>
    <col min="10245" max="10256" width="2.140625" style="4" customWidth="1"/>
    <col min="10257" max="10257" width="20.85546875" style="4" bestFit="1" customWidth="1"/>
    <col min="10258" max="10258" width="17.140625" style="4" customWidth="1"/>
    <col min="10259" max="10259" width="10.85546875" style="4" bestFit="1" customWidth="1"/>
    <col min="10260" max="10260" width="11.42578125" style="4"/>
    <col min="10261" max="10261" width="13" style="4" customWidth="1"/>
    <col min="10262" max="10262" width="28.42578125" style="4" bestFit="1" customWidth="1"/>
    <col min="10263" max="10496" width="11.42578125" style="4"/>
    <col min="10497" max="10497" width="5.140625" style="4" customWidth="1"/>
    <col min="10498" max="10498" width="24.42578125" style="4" bestFit="1" customWidth="1"/>
    <col min="10499" max="10499" width="21.42578125" style="4" bestFit="1" customWidth="1"/>
    <col min="10500" max="10500" width="26.5703125" style="4" customWidth="1"/>
    <col min="10501" max="10512" width="2.140625" style="4" customWidth="1"/>
    <col min="10513" max="10513" width="20.85546875" style="4" bestFit="1" customWidth="1"/>
    <col min="10514" max="10514" width="17.140625" style="4" customWidth="1"/>
    <col min="10515" max="10515" width="10.85546875" style="4" bestFit="1" customWidth="1"/>
    <col min="10516" max="10516" width="11.42578125" style="4"/>
    <col min="10517" max="10517" width="13" style="4" customWidth="1"/>
    <col min="10518" max="10518" width="28.42578125" style="4" bestFit="1" customWidth="1"/>
    <col min="10519" max="10752" width="11.42578125" style="4"/>
    <col min="10753" max="10753" width="5.140625" style="4" customWidth="1"/>
    <col min="10754" max="10754" width="24.42578125" style="4" bestFit="1" customWidth="1"/>
    <col min="10755" max="10755" width="21.42578125" style="4" bestFit="1" customWidth="1"/>
    <col min="10756" max="10756" width="26.5703125" style="4" customWidth="1"/>
    <col min="10757" max="10768" width="2.140625" style="4" customWidth="1"/>
    <col min="10769" max="10769" width="20.85546875" style="4" bestFit="1" customWidth="1"/>
    <col min="10770" max="10770" width="17.140625" style="4" customWidth="1"/>
    <col min="10771" max="10771" width="10.85546875" style="4" bestFit="1" customWidth="1"/>
    <col min="10772" max="10772" width="11.42578125" style="4"/>
    <col min="10773" max="10773" width="13" style="4" customWidth="1"/>
    <col min="10774" max="10774" width="28.42578125" style="4" bestFit="1" customWidth="1"/>
    <col min="10775" max="11008" width="11.42578125" style="4"/>
    <col min="11009" max="11009" width="5.140625" style="4" customWidth="1"/>
    <col min="11010" max="11010" width="24.42578125" style="4" bestFit="1" customWidth="1"/>
    <col min="11011" max="11011" width="21.42578125" style="4" bestFit="1" customWidth="1"/>
    <col min="11012" max="11012" width="26.5703125" style="4" customWidth="1"/>
    <col min="11013" max="11024" width="2.140625" style="4" customWidth="1"/>
    <col min="11025" max="11025" width="20.85546875" style="4" bestFit="1" customWidth="1"/>
    <col min="11026" max="11026" width="17.140625" style="4" customWidth="1"/>
    <col min="11027" max="11027" width="10.85546875" style="4" bestFit="1" customWidth="1"/>
    <col min="11028" max="11028" width="11.42578125" style="4"/>
    <col min="11029" max="11029" width="13" style="4" customWidth="1"/>
    <col min="11030" max="11030" width="28.42578125" style="4" bestFit="1" customWidth="1"/>
    <col min="11031" max="11264" width="11.42578125" style="4"/>
    <col min="11265" max="11265" width="5.140625" style="4" customWidth="1"/>
    <col min="11266" max="11266" width="24.42578125" style="4" bestFit="1" customWidth="1"/>
    <col min="11267" max="11267" width="21.42578125" style="4" bestFit="1" customWidth="1"/>
    <col min="11268" max="11268" width="26.5703125" style="4" customWidth="1"/>
    <col min="11269" max="11280" width="2.140625" style="4" customWidth="1"/>
    <col min="11281" max="11281" width="20.85546875" style="4" bestFit="1" customWidth="1"/>
    <col min="11282" max="11282" width="17.140625" style="4" customWidth="1"/>
    <col min="11283" max="11283" width="10.85546875" style="4" bestFit="1" customWidth="1"/>
    <col min="11284" max="11284" width="11.42578125" style="4"/>
    <col min="11285" max="11285" width="13" style="4" customWidth="1"/>
    <col min="11286" max="11286" width="28.42578125" style="4" bestFit="1" customWidth="1"/>
    <col min="11287" max="11520" width="11.42578125" style="4"/>
    <col min="11521" max="11521" width="5.140625" style="4" customWidth="1"/>
    <col min="11522" max="11522" width="24.42578125" style="4" bestFit="1" customWidth="1"/>
    <col min="11523" max="11523" width="21.42578125" style="4" bestFit="1" customWidth="1"/>
    <col min="11524" max="11524" width="26.5703125" style="4" customWidth="1"/>
    <col min="11525" max="11536" width="2.140625" style="4" customWidth="1"/>
    <col min="11537" max="11537" width="20.85546875" style="4" bestFit="1" customWidth="1"/>
    <col min="11538" max="11538" width="17.140625" style="4" customWidth="1"/>
    <col min="11539" max="11539" width="10.85546875" style="4" bestFit="1" customWidth="1"/>
    <col min="11540" max="11540" width="11.42578125" style="4"/>
    <col min="11541" max="11541" width="13" style="4" customWidth="1"/>
    <col min="11542" max="11542" width="28.42578125" style="4" bestFit="1" customWidth="1"/>
    <col min="11543" max="11776" width="11.42578125" style="4"/>
    <col min="11777" max="11777" width="5.140625" style="4" customWidth="1"/>
    <col min="11778" max="11778" width="24.42578125" style="4" bestFit="1" customWidth="1"/>
    <col min="11779" max="11779" width="21.42578125" style="4" bestFit="1" customWidth="1"/>
    <col min="11780" max="11780" width="26.5703125" style="4" customWidth="1"/>
    <col min="11781" max="11792" width="2.140625" style="4" customWidth="1"/>
    <col min="11793" max="11793" width="20.85546875" style="4" bestFit="1" customWidth="1"/>
    <col min="11794" max="11794" width="17.140625" style="4" customWidth="1"/>
    <col min="11795" max="11795" width="10.85546875" style="4" bestFit="1" customWidth="1"/>
    <col min="11796" max="11796" width="11.42578125" style="4"/>
    <col min="11797" max="11797" width="13" style="4" customWidth="1"/>
    <col min="11798" max="11798" width="28.42578125" style="4" bestFit="1" customWidth="1"/>
    <col min="11799" max="12032" width="11.42578125" style="4"/>
    <col min="12033" max="12033" width="5.140625" style="4" customWidth="1"/>
    <col min="12034" max="12034" width="24.42578125" style="4" bestFit="1" customWidth="1"/>
    <col min="12035" max="12035" width="21.42578125" style="4" bestFit="1" customWidth="1"/>
    <col min="12036" max="12036" width="26.5703125" style="4" customWidth="1"/>
    <col min="12037" max="12048" width="2.140625" style="4" customWidth="1"/>
    <col min="12049" max="12049" width="20.85546875" style="4" bestFit="1" customWidth="1"/>
    <col min="12050" max="12050" width="17.140625" style="4" customWidth="1"/>
    <col min="12051" max="12051" width="10.85546875" style="4" bestFit="1" customWidth="1"/>
    <col min="12052" max="12052" width="11.42578125" style="4"/>
    <col min="12053" max="12053" width="13" style="4" customWidth="1"/>
    <col min="12054" max="12054" width="28.42578125" style="4" bestFit="1" customWidth="1"/>
    <col min="12055" max="12288" width="11.42578125" style="4"/>
    <col min="12289" max="12289" width="5.140625" style="4" customWidth="1"/>
    <col min="12290" max="12290" width="24.42578125" style="4" bestFit="1" customWidth="1"/>
    <col min="12291" max="12291" width="21.42578125" style="4" bestFit="1" customWidth="1"/>
    <col min="12292" max="12292" width="26.5703125" style="4" customWidth="1"/>
    <col min="12293" max="12304" width="2.140625" style="4" customWidth="1"/>
    <col min="12305" max="12305" width="20.85546875" style="4" bestFit="1" customWidth="1"/>
    <col min="12306" max="12306" width="17.140625" style="4" customWidth="1"/>
    <col min="12307" max="12307" width="10.85546875" style="4" bestFit="1" customWidth="1"/>
    <col min="12308" max="12308" width="11.42578125" style="4"/>
    <col min="12309" max="12309" width="13" style="4" customWidth="1"/>
    <col min="12310" max="12310" width="28.42578125" style="4" bestFit="1" customWidth="1"/>
    <col min="12311" max="12544" width="11.42578125" style="4"/>
    <col min="12545" max="12545" width="5.140625" style="4" customWidth="1"/>
    <col min="12546" max="12546" width="24.42578125" style="4" bestFit="1" customWidth="1"/>
    <col min="12547" max="12547" width="21.42578125" style="4" bestFit="1" customWidth="1"/>
    <col min="12548" max="12548" width="26.5703125" style="4" customWidth="1"/>
    <col min="12549" max="12560" width="2.140625" style="4" customWidth="1"/>
    <col min="12561" max="12561" width="20.85546875" style="4" bestFit="1" customWidth="1"/>
    <col min="12562" max="12562" width="17.140625" style="4" customWidth="1"/>
    <col min="12563" max="12563" width="10.85546875" style="4" bestFit="1" customWidth="1"/>
    <col min="12564" max="12564" width="11.42578125" style="4"/>
    <col min="12565" max="12565" width="13" style="4" customWidth="1"/>
    <col min="12566" max="12566" width="28.42578125" style="4" bestFit="1" customWidth="1"/>
    <col min="12567" max="12800" width="11.42578125" style="4"/>
    <col min="12801" max="12801" width="5.140625" style="4" customWidth="1"/>
    <col min="12802" max="12802" width="24.42578125" style="4" bestFit="1" customWidth="1"/>
    <col min="12803" max="12803" width="21.42578125" style="4" bestFit="1" customWidth="1"/>
    <col min="12804" max="12804" width="26.5703125" style="4" customWidth="1"/>
    <col min="12805" max="12816" width="2.140625" style="4" customWidth="1"/>
    <col min="12817" max="12817" width="20.85546875" style="4" bestFit="1" customWidth="1"/>
    <col min="12818" max="12818" width="17.140625" style="4" customWidth="1"/>
    <col min="12819" max="12819" width="10.85546875" style="4" bestFit="1" customWidth="1"/>
    <col min="12820" max="12820" width="11.42578125" style="4"/>
    <col min="12821" max="12821" width="13" style="4" customWidth="1"/>
    <col min="12822" max="12822" width="28.42578125" style="4" bestFit="1" customWidth="1"/>
    <col min="12823" max="13056" width="11.42578125" style="4"/>
    <col min="13057" max="13057" width="5.140625" style="4" customWidth="1"/>
    <col min="13058" max="13058" width="24.42578125" style="4" bestFit="1" customWidth="1"/>
    <col min="13059" max="13059" width="21.42578125" style="4" bestFit="1" customWidth="1"/>
    <col min="13060" max="13060" width="26.5703125" style="4" customWidth="1"/>
    <col min="13061" max="13072" width="2.140625" style="4" customWidth="1"/>
    <col min="13073" max="13073" width="20.85546875" style="4" bestFit="1" customWidth="1"/>
    <col min="13074" max="13074" width="17.140625" style="4" customWidth="1"/>
    <col min="13075" max="13075" width="10.85546875" style="4" bestFit="1" customWidth="1"/>
    <col min="13076" max="13076" width="11.42578125" style="4"/>
    <col min="13077" max="13077" width="13" style="4" customWidth="1"/>
    <col min="13078" max="13078" width="28.42578125" style="4" bestFit="1" customWidth="1"/>
    <col min="13079" max="13312" width="11.42578125" style="4"/>
    <col min="13313" max="13313" width="5.140625" style="4" customWidth="1"/>
    <col min="13314" max="13314" width="24.42578125" style="4" bestFit="1" customWidth="1"/>
    <col min="13315" max="13315" width="21.42578125" style="4" bestFit="1" customWidth="1"/>
    <col min="13316" max="13316" width="26.5703125" style="4" customWidth="1"/>
    <col min="13317" max="13328" width="2.140625" style="4" customWidth="1"/>
    <col min="13329" max="13329" width="20.85546875" style="4" bestFit="1" customWidth="1"/>
    <col min="13330" max="13330" width="17.140625" style="4" customWidth="1"/>
    <col min="13331" max="13331" width="10.85546875" style="4" bestFit="1" customWidth="1"/>
    <col min="13332" max="13332" width="11.42578125" style="4"/>
    <col min="13333" max="13333" width="13" style="4" customWidth="1"/>
    <col min="13334" max="13334" width="28.42578125" style="4" bestFit="1" customWidth="1"/>
    <col min="13335" max="13568" width="11.42578125" style="4"/>
    <col min="13569" max="13569" width="5.140625" style="4" customWidth="1"/>
    <col min="13570" max="13570" width="24.42578125" style="4" bestFit="1" customWidth="1"/>
    <col min="13571" max="13571" width="21.42578125" style="4" bestFit="1" customWidth="1"/>
    <col min="13572" max="13572" width="26.5703125" style="4" customWidth="1"/>
    <col min="13573" max="13584" width="2.140625" style="4" customWidth="1"/>
    <col min="13585" max="13585" width="20.85546875" style="4" bestFit="1" customWidth="1"/>
    <col min="13586" max="13586" width="17.140625" style="4" customWidth="1"/>
    <col min="13587" max="13587" width="10.85546875" style="4" bestFit="1" customWidth="1"/>
    <col min="13588" max="13588" width="11.42578125" style="4"/>
    <col min="13589" max="13589" width="13" style="4" customWidth="1"/>
    <col min="13590" max="13590" width="28.42578125" style="4" bestFit="1" customWidth="1"/>
    <col min="13591" max="13824" width="11.42578125" style="4"/>
    <col min="13825" max="13825" width="5.140625" style="4" customWidth="1"/>
    <col min="13826" max="13826" width="24.42578125" style="4" bestFit="1" customWidth="1"/>
    <col min="13827" max="13827" width="21.42578125" style="4" bestFit="1" customWidth="1"/>
    <col min="13828" max="13828" width="26.5703125" style="4" customWidth="1"/>
    <col min="13829" max="13840" width="2.140625" style="4" customWidth="1"/>
    <col min="13841" max="13841" width="20.85546875" style="4" bestFit="1" customWidth="1"/>
    <col min="13842" max="13842" width="17.140625" style="4" customWidth="1"/>
    <col min="13843" max="13843" width="10.85546875" style="4" bestFit="1" customWidth="1"/>
    <col min="13844" max="13844" width="11.42578125" style="4"/>
    <col min="13845" max="13845" width="13" style="4" customWidth="1"/>
    <col min="13846" max="13846" width="28.42578125" style="4" bestFit="1" customWidth="1"/>
    <col min="13847" max="14080" width="11.42578125" style="4"/>
    <col min="14081" max="14081" width="5.140625" style="4" customWidth="1"/>
    <col min="14082" max="14082" width="24.42578125" style="4" bestFit="1" customWidth="1"/>
    <col min="14083" max="14083" width="21.42578125" style="4" bestFit="1" customWidth="1"/>
    <col min="14084" max="14084" width="26.5703125" style="4" customWidth="1"/>
    <col min="14085" max="14096" width="2.140625" style="4" customWidth="1"/>
    <col min="14097" max="14097" width="20.85546875" style="4" bestFit="1" customWidth="1"/>
    <col min="14098" max="14098" width="17.140625" style="4" customWidth="1"/>
    <col min="14099" max="14099" width="10.85546875" style="4" bestFit="1" customWidth="1"/>
    <col min="14100" max="14100" width="11.42578125" style="4"/>
    <col min="14101" max="14101" width="13" style="4" customWidth="1"/>
    <col min="14102" max="14102" width="28.42578125" style="4" bestFit="1" customWidth="1"/>
    <col min="14103" max="14336" width="11.42578125" style="4"/>
    <col min="14337" max="14337" width="5.140625" style="4" customWidth="1"/>
    <col min="14338" max="14338" width="24.42578125" style="4" bestFit="1" customWidth="1"/>
    <col min="14339" max="14339" width="21.42578125" style="4" bestFit="1" customWidth="1"/>
    <col min="14340" max="14340" width="26.5703125" style="4" customWidth="1"/>
    <col min="14341" max="14352" width="2.140625" style="4" customWidth="1"/>
    <col min="14353" max="14353" width="20.85546875" style="4" bestFit="1" customWidth="1"/>
    <col min="14354" max="14354" width="17.140625" style="4" customWidth="1"/>
    <col min="14355" max="14355" width="10.85546875" style="4" bestFit="1" customWidth="1"/>
    <col min="14356" max="14356" width="11.42578125" style="4"/>
    <col min="14357" max="14357" width="13" style="4" customWidth="1"/>
    <col min="14358" max="14358" width="28.42578125" style="4" bestFit="1" customWidth="1"/>
    <col min="14359" max="14592" width="11.42578125" style="4"/>
    <col min="14593" max="14593" width="5.140625" style="4" customWidth="1"/>
    <col min="14594" max="14594" width="24.42578125" style="4" bestFit="1" customWidth="1"/>
    <col min="14595" max="14595" width="21.42578125" style="4" bestFit="1" customWidth="1"/>
    <col min="14596" max="14596" width="26.5703125" style="4" customWidth="1"/>
    <col min="14597" max="14608" width="2.140625" style="4" customWidth="1"/>
    <col min="14609" max="14609" width="20.85546875" style="4" bestFit="1" customWidth="1"/>
    <col min="14610" max="14610" width="17.140625" style="4" customWidth="1"/>
    <col min="14611" max="14611" width="10.85546875" style="4" bestFit="1" customWidth="1"/>
    <col min="14612" max="14612" width="11.42578125" style="4"/>
    <col min="14613" max="14613" width="13" style="4" customWidth="1"/>
    <col min="14614" max="14614" width="28.42578125" style="4" bestFit="1" customWidth="1"/>
    <col min="14615" max="14848" width="11.42578125" style="4"/>
    <col min="14849" max="14849" width="5.140625" style="4" customWidth="1"/>
    <col min="14850" max="14850" width="24.42578125" style="4" bestFit="1" customWidth="1"/>
    <col min="14851" max="14851" width="21.42578125" style="4" bestFit="1" customWidth="1"/>
    <col min="14852" max="14852" width="26.5703125" style="4" customWidth="1"/>
    <col min="14853" max="14864" width="2.140625" style="4" customWidth="1"/>
    <col min="14865" max="14865" width="20.85546875" style="4" bestFit="1" customWidth="1"/>
    <col min="14866" max="14866" width="17.140625" style="4" customWidth="1"/>
    <col min="14867" max="14867" width="10.85546875" style="4" bestFit="1" customWidth="1"/>
    <col min="14868" max="14868" width="11.42578125" style="4"/>
    <col min="14869" max="14869" width="13" style="4" customWidth="1"/>
    <col min="14870" max="14870" width="28.42578125" style="4" bestFit="1" customWidth="1"/>
    <col min="14871" max="15104" width="11.42578125" style="4"/>
    <col min="15105" max="15105" width="5.140625" style="4" customWidth="1"/>
    <col min="15106" max="15106" width="24.42578125" style="4" bestFit="1" customWidth="1"/>
    <col min="15107" max="15107" width="21.42578125" style="4" bestFit="1" customWidth="1"/>
    <col min="15108" max="15108" width="26.5703125" style="4" customWidth="1"/>
    <col min="15109" max="15120" width="2.140625" style="4" customWidth="1"/>
    <col min="15121" max="15121" width="20.85546875" style="4" bestFit="1" customWidth="1"/>
    <col min="15122" max="15122" width="17.140625" style="4" customWidth="1"/>
    <col min="15123" max="15123" width="10.85546875" style="4" bestFit="1" customWidth="1"/>
    <col min="15124" max="15124" width="11.42578125" style="4"/>
    <col min="15125" max="15125" width="13" style="4" customWidth="1"/>
    <col min="15126" max="15126" width="28.42578125" style="4" bestFit="1" customWidth="1"/>
    <col min="15127" max="15360" width="11.42578125" style="4"/>
    <col min="15361" max="15361" width="5.140625" style="4" customWidth="1"/>
    <col min="15362" max="15362" width="24.42578125" style="4" bestFit="1" customWidth="1"/>
    <col min="15363" max="15363" width="21.42578125" style="4" bestFit="1" customWidth="1"/>
    <col min="15364" max="15364" width="26.5703125" style="4" customWidth="1"/>
    <col min="15365" max="15376" width="2.140625" style="4" customWidth="1"/>
    <col min="15377" max="15377" width="20.85546875" style="4" bestFit="1" customWidth="1"/>
    <col min="15378" max="15378" width="17.140625" style="4" customWidth="1"/>
    <col min="15379" max="15379" width="10.85546875" style="4" bestFit="1" customWidth="1"/>
    <col min="15380" max="15380" width="11.42578125" style="4"/>
    <col min="15381" max="15381" width="13" style="4" customWidth="1"/>
    <col min="15382" max="15382" width="28.42578125" style="4" bestFit="1" customWidth="1"/>
    <col min="15383" max="15616" width="11.42578125" style="4"/>
    <col min="15617" max="15617" width="5.140625" style="4" customWidth="1"/>
    <col min="15618" max="15618" width="24.42578125" style="4" bestFit="1" customWidth="1"/>
    <col min="15619" max="15619" width="21.42578125" style="4" bestFit="1" customWidth="1"/>
    <col min="15620" max="15620" width="26.5703125" style="4" customWidth="1"/>
    <col min="15621" max="15632" width="2.140625" style="4" customWidth="1"/>
    <col min="15633" max="15633" width="20.85546875" style="4" bestFit="1" customWidth="1"/>
    <col min="15634" max="15634" width="17.140625" style="4" customWidth="1"/>
    <col min="15635" max="15635" width="10.85546875" style="4" bestFit="1" customWidth="1"/>
    <col min="15636" max="15636" width="11.42578125" style="4"/>
    <col min="15637" max="15637" width="13" style="4" customWidth="1"/>
    <col min="15638" max="15638" width="28.42578125" style="4" bestFit="1" customWidth="1"/>
    <col min="15639" max="15872" width="11.42578125" style="4"/>
    <col min="15873" max="15873" width="5.140625" style="4" customWidth="1"/>
    <col min="15874" max="15874" width="24.42578125" style="4" bestFit="1" customWidth="1"/>
    <col min="15875" max="15875" width="21.42578125" style="4" bestFit="1" customWidth="1"/>
    <col min="15876" max="15876" width="26.5703125" style="4" customWidth="1"/>
    <col min="15877" max="15888" width="2.140625" style="4" customWidth="1"/>
    <col min="15889" max="15889" width="20.85546875" style="4" bestFit="1" customWidth="1"/>
    <col min="15890" max="15890" width="17.140625" style="4" customWidth="1"/>
    <col min="15891" max="15891" width="10.85546875" style="4" bestFit="1" customWidth="1"/>
    <col min="15892" max="15892" width="11.42578125" style="4"/>
    <col min="15893" max="15893" width="13" style="4" customWidth="1"/>
    <col min="15894" max="15894" width="28.42578125" style="4" bestFit="1" customWidth="1"/>
    <col min="15895" max="16128" width="11.42578125" style="4"/>
    <col min="16129" max="16129" width="5.140625" style="4" customWidth="1"/>
    <col min="16130" max="16130" width="24.42578125" style="4" bestFit="1" customWidth="1"/>
    <col min="16131" max="16131" width="21.42578125" style="4" bestFit="1" customWidth="1"/>
    <col min="16132" max="16132" width="26.5703125" style="4" customWidth="1"/>
    <col min="16133" max="16144" width="2.140625" style="4" customWidth="1"/>
    <col min="16145" max="16145" width="20.85546875" style="4" bestFit="1" customWidth="1"/>
    <col min="16146" max="16146" width="17.140625" style="4" customWidth="1"/>
    <col min="16147" max="16147" width="10.85546875" style="4" bestFit="1" customWidth="1"/>
    <col min="16148" max="16148" width="11.42578125" style="4"/>
    <col min="16149" max="16149" width="13" style="4" customWidth="1"/>
    <col min="16150" max="16150" width="28.42578125" style="4" bestFit="1" customWidth="1"/>
    <col min="16151" max="16384" width="11.42578125" style="4"/>
  </cols>
  <sheetData>
    <row r="1" spans="1:24" s="3" customFormat="1" ht="15.75" x14ac:dyDescent="0.25">
      <c r="A1" s="328" t="s">
        <v>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</row>
    <row r="2" spans="1:24" s="3" customFormat="1" ht="15.75" x14ac:dyDescent="0.25">
      <c r="A2" s="328" t="s">
        <v>187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4" s="3" customFormat="1" ht="15.75" x14ac:dyDescent="0.25">
      <c r="A3" s="328" t="s">
        <v>349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</row>
    <row r="4" spans="1:24" ht="15" x14ac:dyDescent="0.2">
      <c r="A4" s="302" t="s">
        <v>1</v>
      </c>
      <c r="B4" s="302"/>
      <c r="C4" s="303" t="s">
        <v>2</v>
      </c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</row>
    <row r="5" spans="1:24" ht="15" x14ac:dyDescent="0.2">
      <c r="A5" s="305" t="s">
        <v>3</v>
      </c>
      <c r="B5" s="305"/>
      <c r="C5" s="306" t="s">
        <v>4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</row>
    <row r="6" spans="1:24" ht="15" customHeight="1" x14ac:dyDescent="0.2">
      <c r="A6" s="297" t="s">
        <v>5</v>
      </c>
      <c r="B6" s="295" t="s">
        <v>177</v>
      </c>
      <c r="C6" s="295" t="s">
        <v>127</v>
      </c>
      <c r="D6" s="297" t="s">
        <v>6</v>
      </c>
      <c r="E6" s="301" t="s">
        <v>7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295" t="s">
        <v>128</v>
      </c>
      <c r="R6" s="295" t="s">
        <v>339</v>
      </c>
      <c r="S6" s="297" t="s">
        <v>344</v>
      </c>
      <c r="T6" s="297"/>
      <c r="U6" s="297"/>
    </row>
    <row r="7" spans="1:24" ht="27.75" customHeight="1" x14ac:dyDescent="0.2">
      <c r="A7" s="297"/>
      <c r="B7" s="295"/>
      <c r="C7" s="295"/>
      <c r="D7" s="297"/>
      <c r="E7" s="5" t="s">
        <v>8</v>
      </c>
      <c r="F7" s="5" t="s">
        <v>9</v>
      </c>
      <c r="G7" s="5" t="s">
        <v>10</v>
      </c>
      <c r="H7" s="5" t="s">
        <v>11</v>
      </c>
      <c r="I7" s="5" t="s">
        <v>10</v>
      </c>
      <c r="J7" s="5" t="s">
        <v>12</v>
      </c>
      <c r="K7" s="5" t="s">
        <v>12</v>
      </c>
      <c r="L7" s="5" t="s">
        <v>11</v>
      </c>
      <c r="M7" s="5" t="s">
        <v>13</v>
      </c>
      <c r="N7" s="5" t="s">
        <v>14</v>
      </c>
      <c r="O7" s="5" t="s">
        <v>15</v>
      </c>
      <c r="P7" s="5" t="s">
        <v>16</v>
      </c>
      <c r="Q7" s="295"/>
      <c r="R7" s="295"/>
      <c r="S7" s="161" t="s">
        <v>17</v>
      </c>
      <c r="T7" s="161" t="s">
        <v>18</v>
      </c>
      <c r="U7" s="235" t="s">
        <v>19</v>
      </c>
    </row>
    <row r="8" spans="1:24" ht="39.75" customHeight="1" x14ac:dyDescent="0.2">
      <c r="A8" s="310">
        <v>2.1</v>
      </c>
      <c r="B8" s="304" t="s">
        <v>124</v>
      </c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</row>
    <row r="9" spans="1:24" ht="53.25" customHeight="1" x14ac:dyDescent="0.2">
      <c r="A9" s="310"/>
      <c r="B9" s="292" t="s">
        <v>28</v>
      </c>
      <c r="C9" s="292" t="s">
        <v>21</v>
      </c>
      <c r="D9" s="132" t="s">
        <v>29</v>
      </c>
      <c r="E9" s="234" t="s">
        <v>35</v>
      </c>
      <c r="F9" s="234" t="s">
        <v>35</v>
      </c>
      <c r="G9" s="234" t="s">
        <v>35</v>
      </c>
      <c r="H9" s="234" t="s">
        <v>35</v>
      </c>
      <c r="I9" s="234" t="s">
        <v>35</v>
      </c>
      <c r="J9" s="234" t="s">
        <v>35</v>
      </c>
      <c r="K9" s="234" t="s">
        <v>35</v>
      </c>
      <c r="L9" s="234" t="s">
        <v>35</v>
      </c>
      <c r="M9" s="234" t="s">
        <v>35</v>
      </c>
      <c r="N9" s="234" t="s">
        <v>35</v>
      </c>
      <c r="O9" s="234" t="s">
        <v>35</v>
      </c>
      <c r="P9" s="234" t="s">
        <v>35</v>
      </c>
      <c r="Q9" s="234" t="s">
        <v>22</v>
      </c>
      <c r="R9" s="234" t="s">
        <v>176</v>
      </c>
      <c r="S9" s="234">
        <v>1</v>
      </c>
      <c r="T9" s="143">
        <f>U9/12</f>
        <v>15717.466666666667</v>
      </c>
      <c r="U9" s="144">
        <v>188609.6</v>
      </c>
    </row>
    <row r="10" spans="1:24" ht="40.5" customHeight="1" x14ac:dyDescent="0.2">
      <c r="A10" s="310"/>
      <c r="B10" s="292"/>
      <c r="C10" s="292"/>
      <c r="D10" s="132" t="s">
        <v>30</v>
      </c>
      <c r="E10" s="234" t="s">
        <v>35</v>
      </c>
      <c r="F10" s="234" t="s">
        <v>35</v>
      </c>
      <c r="G10" s="234" t="s">
        <v>35</v>
      </c>
      <c r="H10" s="234" t="s">
        <v>35</v>
      </c>
      <c r="I10" s="234" t="s">
        <v>35</v>
      </c>
      <c r="J10" s="234" t="s">
        <v>35</v>
      </c>
      <c r="K10" s="234" t="s">
        <v>35</v>
      </c>
      <c r="L10" s="234" t="s">
        <v>35</v>
      </c>
      <c r="M10" s="234" t="s">
        <v>35</v>
      </c>
      <c r="N10" s="234" t="s">
        <v>35</v>
      </c>
      <c r="O10" s="234" t="s">
        <v>35</v>
      </c>
      <c r="P10" s="234" t="s">
        <v>35</v>
      </c>
      <c r="Q10" s="234" t="s">
        <v>22</v>
      </c>
      <c r="R10" s="234" t="s">
        <v>176</v>
      </c>
      <c r="S10" s="234">
        <v>1</v>
      </c>
      <c r="T10" s="143">
        <f>U10/12</f>
        <v>31122.922121212123</v>
      </c>
      <c r="U10" s="144">
        <v>373475.06545454549</v>
      </c>
      <c r="V10" s="142"/>
    </row>
    <row r="11" spans="1:24" ht="21" customHeight="1" x14ac:dyDescent="0.2">
      <c r="A11" s="329" t="s">
        <v>342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07">
        <f>SUM(U9:U10)</f>
        <v>562084.66545454552</v>
      </c>
      <c r="U11" s="307"/>
    </row>
    <row r="12" spans="1:24" ht="15" x14ac:dyDescent="0.2">
      <c r="A12" s="311" t="s">
        <v>1</v>
      </c>
      <c r="B12" s="311"/>
      <c r="C12" s="312" t="s">
        <v>2</v>
      </c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</row>
    <row r="13" spans="1:24" ht="15" x14ac:dyDescent="0.2">
      <c r="A13" s="313" t="s">
        <v>20</v>
      </c>
      <c r="B13" s="313"/>
      <c r="C13" s="314" t="s">
        <v>23</v>
      </c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</row>
    <row r="14" spans="1:24" ht="15" customHeight="1" x14ac:dyDescent="0.2">
      <c r="A14" s="297" t="s">
        <v>5</v>
      </c>
      <c r="B14" s="295" t="s">
        <v>177</v>
      </c>
      <c r="C14" s="295" t="s">
        <v>127</v>
      </c>
      <c r="D14" s="297" t="s">
        <v>6</v>
      </c>
      <c r="E14" s="301" t="s">
        <v>7</v>
      </c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295" t="s">
        <v>128</v>
      </c>
      <c r="R14" s="295" t="s">
        <v>339</v>
      </c>
      <c r="S14" s="297" t="s">
        <v>344</v>
      </c>
      <c r="T14" s="297"/>
      <c r="U14" s="297"/>
    </row>
    <row r="15" spans="1:24" ht="27.75" customHeight="1" x14ac:dyDescent="0.2">
      <c r="A15" s="297"/>
      <c r="B15" s="295"/>
      <c r="C15" s="295"/>
      <c r="D15" s="297"/>
      <c r="E15" s="5" t="s">
        <v>8</v>
      </c>
      <c r="F15" s="5" t="s">
        <v>9</v>
      </c>
      <c r="G15" s="5" t="s">
        <v>10</v>
      </c>
      <c r="H15" s="5" t="s">
        <v>11</v>
      </c>
      <c r="I15" s="5" t="s">
        <v>10</v>
      </c>
      <c r="J15" s="5" t="s">
        <v>12</v>
      </c>
      <c r="K15" s="5" t="s">
        <v>12</v>
      </c>
      <c r="L15" s="5" t="s">
        <v>11</v>
      </c>
      <c r="M15" s="5" t="s">
        <v>13</v>
      </c>
      <c r="N15" s="5" t="s">
        <v>14</v>
      </c>
      <c r="O15" s="5" t="s">
        <v>15</v>
      </c>
      <c r="P15" s="5" t="s">
        <v>16</v>
      </c>
      <c r="Q15" s="295"/>
      <c r="R15" s="295"/>
      <c r="S15" s="161" t="s">
        <v>17</v>
      </c>
      <c r="T15" s="161" t="s">
        <v>18</v>
      </c>
      <c r="U15" s="235" t="s">
        <v>19</v>
      </c>
      <c r="V15" s="255"/>
      <c r="W15" s="217"/>
      <c r="X15" s="217"/>
    </row>
    <row r="16" spans="1:24" ht="74.25" customHeight="1" x14ac:dyDescent="0.2">
      <c r="A16" s="292"/>
      <c r="B16" s="304" t="s">
        <v>171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255"/>
      <c r="W16" s="217"/>
      <c r="X16" s="217"/>
    </row>
    <row r="17" spans="1:24" ht="62.25" customHeight="1" x14ac:dyDescent="0.2">
      <c r="A17" s="292"/>
      <c r="B17" s="234" t="s">
        <v>172</v>
      </c>
      <c r="C17" s="292" t="s">
        <v>21</v>
      </c>
      <c r="D17" s="131" t="s">
        <v>32</v>
      </c>
      <c r="E17" s="234"/>
      <c r="F17" s="234"/>
      <c r="G17" s="234"/>
      <c r="H17" s="234"/>
      <c r="I17" s="234"/>
      <c r="J17" s="234" t="s">
        <v>35</v>
      </c>
      <c r="K17" s="234" t="s">
        <v>35</v>
      </c>
      <c r="L17" s="234" t="s">
        <v>35</v>
      </c>
      <c r="M17" s="234" t="s">
        <v>35</v>
      </c>
      <c r="N17" s="234" t="s">
        <v>35</v>
      </c>
      <c r="O17" s="234" t="s">
        <v>35</v>
      </c>
      <c r="P17" s="234"/>
      <c r="Q17" s="234" t="s">
        <v>22</v>
      </c>
      <c r="R17" s="234" t="s">
        <v>36</v>
      </c>
      <c r="S17" s="234">
        <v>1</v>
      </c>
      <c r="T17" s="143">
        <f>U17/6</f>
        <v>266.66666666666669</v>
      </c>
      <c r="U17" s="143">
        <v>1600</v>
      </c>
      <c r="V17" s="255"/>
      <c r="W17" s="217"/>
      <c r="X17" s="217"/>
    </row>
    <row r="18" spans="1:24" ht="78" customHeight="1" x14ac:dyDescent="0.25">
      <c r="A18" s="292"/>
      <c r="B18" s="292" t="s">
        <v>173</v>
      </c>
      <c r="C18" s="292"/>
      <c r="D18" s="256" t="s">
        <v>33</v>
      </c>
      <c r="E18" s="234"/>
      <c r="F18" s="234"/>
      <c r="G18" s="234"/>
      <c r="H18" s="234" t="s">
        <v>35</v>
      </c>
      <c r="I18" s="234"/>
      <c r="J18" s="234" t="s">
        <v>35</v>
      </c>
      <c r="K18" s="234"/>
      <c r="L18" s="234" t="s">
        <v>35</v>
      </c>
      <c r="M18" s="234"/>
      <c r="N18" s="234" t="s">
        <v>35</v>
      </c>
      <c r="O18" s="234"/>
      <c r="P18" s="234"/>
      <c r="Q18" s="234" t="s">
        <v>22</v>
      </c>
      <c r="R18" s="20" t="s">
        <v>178</v>
      </c>
      <c r="S18" s="234">
        <v>1</v>
      </c>
      <c r="T18" s="143">
        <f>U18/4</f>
        <v>300</v>
      </c>
      <c r="U18" s="143">
        <v>1200</v>
      </c>
      <c r="V18" s="255"/>
      <c r="W18" s="217"/>
      <c r="X18" s="217"/>
    </row>
    <row r="19" spans="1:24" ht="92.25" customHeight="1" x14ac:dyDescent="0.2">
      <c r="A19" s="292"/>
      <c r="B19" s="292"/>
      <c r="C19" s="292"/>
      <c r="D19" s="149" t="s">
        <v>34</v>
      </c>
      <c r="E19" s="234"/>
      <c r="F19" s="234" t="s">
        <v>35</v>
      </c>
      <c r="G19" s="234" t="s">
        <v>35</v>
      </c>
      <c r="H19" s="234" t="s">
        <v>35</v>
      </c>
      <c r="I19" s="234" t="s">
        <v>35</v>
      </c>
      <c r="J19" s="234" t="s">
        <v>35</v>
      </c>
      <c r="K19" s="234" t="s">
        <v>35</v>
      </c>
      <c r="L19" s="234" t="s">
        <v>35</v>
      </c>
      <c r="M19" s="234" t="s">
        <v>35</v>
      </c>
      <c r="N19" s="234" t="s">
        <v>35</v>
      </c>
      <c r="O19" s="234" t="s">
        <v>35</v>
      </c>
      <c r="P19" s="234"/>
      <c r="Q19" s="234" t="s">
        <v>22</v>
      </c>
      <c r="R19" s="234" t="s">
        <v>37</v>
      </c>
      <c r="S19" s="234">
        <v>1</v>
      </c>
      <c r="T19" s="143">
        <f>U19/10</f>
        <v>206.08</v>
      </c>
      <c r="U19" s="143">
        <v>2060.8000000000002</v>
      </c>
    </row>
    <row r="20" spans="1:24" ht="55.5" customHeight="1" x14ac:dyDescent="0.2">
      <c r="A20" s="292"/>
      <c r="B20" s="292" t="s">
        <v>174</v>
      </c>
      <c r="C20" s="292"/>
      <c r="D20" s="234" t="s">
        <v>38</v>
      </c>
      <c r="E20" s="234"/>
      <c r="F20" s="234"/>
      <c r="G20" s="234" t="s">
        <v>35</v>
      </c>
      <c r="H20" s="234" t="s">
        <v>35</v>
      </c>
      <c r="I20" s="234" t="s">
        <v>35</v>
      </c>
      <c r="J20" s="234" t="s">
        <v>35</v>
      </c>
      <c r="K20" s="234" t="s">
        <v>35</v>
      </c>
      <c r="L20" s="234" t="s">
        <v>35</v>
      </c>
      <c r="M20" s="234" t="s">
        <v>35</v>
      </c>
      <c r="N20" s="234" t="s">
        <v>35</v>
      </c>
      <c r="O20" s="234"/>
      <c r="P20" s="234"/>
      <c r="Q20" s="234" t="s">
        <v>22</v>
      </c>
      <c r="R20" s="234" t="s">
        <v>42</v>
      </c>
      <c r="S20" s="234">
        <v>1</v>
      </c>
      <c r="T20" s="143">
        <f>U20/8</f>
        <v>300</v>
      </c>
      <c r="U20" s="143">
        <v>2400</v>
      </c>
    </row>
    <row r="21" spans="1:24" ht="92.25" customHeight="1" x14ac:dyDescent="0.2">
      <c r="A21" s="292"/>
      <c r="B21" s="292"/>
      <c r="C21" s="292"/>
      <c r="D21" s="234" t="s">
        <v>39</v>
      </c>
      <c r="E21" s="234"/>
      <c r="F21" s="234" t="s">
        <v>35</v>
      </c>
      <c r="G21" s="234" t="s">
        <v>35</v>
      </c>
      <c r="H21" s="234" t="s">
        <v>35</v>
      </c>
      <c r="I21" s="234" t="s">
        <v>35</v>
      </c>
      <c r="J21" s="234" t="s">
        <v>35</v>
      </c>
      <c r="K21" s="234" t="s">
        <v>35</v>
      </c>
      <c r="L21" s="234" t="s">
        <v>35</v>
      </c>
      <c r="M21" s="234" t="s">
        <v>35</v>
      </c>
      <c r="N21" s="234"/>
      <c r="O21" s="234"/>
      <c r="P21" s="234"/>
      <c r="Q21" s="234" t="s">
        <v>22</v>
      </c>
      <c r="R21" s="234" t="s">
        <v>43</v>
      </c>
      <c r="S21" s="234">
        <v>1</v>
      </c>
      <c r="T21" s="143">
        <f>U21/8</f>
        <v>140.99625</v>
      </c>
      <c r="U21" s="143">
        <v>1127.97</v>
      </c>
    </row>
    <row r="22" spans="1:24" ht="99.75" x14ac:dyDescent="0.2">
      <c r="A22" s="292"/>
      <c r="B22" s="292"/>
      <c r="C22" s="292"/>
      <c r="D22" s="234" t="s">
        <v>40</v>
      </c>
      <c r="E22" s="234"/>
      <c r="F22" s="234" t="s">
        <v>35</v>
      </c>
      <c r="G22" s="234" t="s">
        <v>35</v>
      </c>
      <c r="H22" s="234" t="s">
        <v>35</v>
      </c>
      <c r="I22" s="234" t="s">
        <v>35</v>
      </c>
      <c r="J22" s="234" t="s">
        <v>35</v>
      </c>
      <c r="K22" s="234" t="s">
        <v>35</v>
      </c>
      <c r="L22" s="234" t="s">
        <v>35</v>
      </c>
      <c r="M22" s="234" t="s">
        <v>35</v>
      </c>
      <c r="N22" s="234"/>
      <c r="O22" s="234"/>
      <c r="P22" s="234"/>
      <c r="Q22" s="234" t="s">
        <v>22</v>
      </c>
      <c r="R22" s="234" t="s">
        <v>44</v>
      </c>
      <c r="S22" s="234">
        <v>1</v>
      </c>
      <c r="T22" s="143">
        <f>U22/8</f>
        <v>15.2</v>
      </c>
      <c r="U22" s="143">
        <v>121.6</v>
      </c>
    </row>
    <row r="23" spans="1:24" ht="75" customHeight="1" x14ac:dyDescent="0.2">
      <c r="A23" s="292"/>
      <c r="B23" s="292"/>
      <c r="C23" s="292"/>
      <c r="D23" s="234" t="s">
        <v>41</v>
      </c>
      <c r="E23" s="234"/>
      <c r="F23" s="234" t="s">
        <v>35</v>
      </c>
      <c r="G23" s="234" t="s">
        <v>35</v>
      </c>
      <c r="H23" s="234" t="s">
        <v>35</v>
      </c>
      <c r="I23" s="234" t="s">
        <v>35</v>
      </c>
      <c r="J23" s="234" t="s">
        <v>35</v>
      </c>
      <c r="K23" s="234" t="s">
        <v>35</v>
      </c>
      <c r="L23" s="234" t="s">
        <v>35</v>
      </c>
      <c r="M23" s="234" t="s">
        <v>35</v>
      </c>
      <c r="N23" s="234" t="s">
        <v>35</v>
      </c>
      <c r="O23" s="234" t="s">
        <v>35</v>
      </c>
      <c r="P23" s="234"/>
      <c r="Q23" s="234" t="s">
        <v>22</v>
      </c>
      <c r="R23" s="234" t="s">
        <v>45</v>
      </c>
      <c r="S23" s="234">
        <v>1</v>
      </c>
      <c r="T23" s="143">
        <f>U23/10</f>
        <v>180</v>
      </c>
      <c r="U23" s="143">
        <v>1800</v>
      </c>
      <c r="V23" s="142"/>
    </row>
    <row r="24" spans="1:24" ht="74.25" customHeight="1" x14ac:dyDescent="0.2">
      <c r="A24" s="292"/>
      <c r="B24" s="292" t="s">
        <v>50</v>
      </c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</row>
    <row r="25" spans="1:24" ht="78" customHeight="1" x14ac:dyDescent="0.2">
      <c r="A25" s="292"/>
      <c r="B25" s="292" t="s">
        <v>175</v>
      </c>
      <c r="C25" s="292" t="s">
        <v>21</v>
      </c>
      <c r="D25" s="149" t="s">
        <v>47</v>
      </c>
      <c r="E25" s="234" t="s">
        <v>35</v>
      </c>
      <c r="F25" s="234" t="s">
        <v>35</v>
      </c>
      <c r="G25" s="234" t="s">
        <v>35</v>
      </c>
      <c r="H25" s="234" t="s">
        <v>35</v>
      </c>
      <c r="I25" s="234" t="s">
        <v>35</v>
      </c>
      <c r="J25" s="234" t="s">
        <v>35</v>
      </c>
      <c r="K25" s="234" t="s">
        <v>35</v>
      </c>
      <c r="L25" s="234" t="s">
        <v>35</v>
      </c>
      <c r="M25" s="234" t="s">
        <v>35</v>
      </c>
      <c r="N25" s="234" t="s">
        <v>35</v>
      </c>
      <c r="O25" s="234" t="s">
        <v>35</v>
      </c>
      <c r="P25" s="234"/>
      <c r="Q25" s="234" t="s">
        <v>22</v>
      </c>
      <c r="R25" s="234" t="s">
        <v>43</v>
      </c>
      <c r="S25" s="234">
        <v>1</v>
      </c>
      <c r="T25" s="143">
        <f>U25/11</f>
        <v>272.72727272727275</v>
      </c>
      <c r="U25" s="145">
        <v>3000</v>
      </c>
    </row>
    <row r="26" spans="1:24" ht="85.5" customHeight="1" x14ac:dyDescent="0.2">
      <c r="A26" s="292"/>
      <c r="B26" s="292"/>
      <c r="C26" s="292"/>
      <c r="D26" s="149" t="s">
        <v>48</v>
      </c>
      <c r="E26" s="234" t="s">
        <v>35</v>
      </c>
      <c r="F26" s="234" t="s">
        <v>35</v>
      </c>
      <c r="G26" s="234" t="s">
        <v>35</v>
      </c>
      <c r="H26" s="234" t="s">
        <v>35</v>
      </c>
      <c r="I26" s="234" t="s">
        <v>35</v>
      </c>
      <c r="J26" s="234" t="s">
        <v>35</v>
      </c>
      <c r="K26" s="234" t="s">
        <v>35</v>
      </c>
      <c r="L26" s="234" t="s">
        <v>35</v>
      </c>
      <c r="M26" s="234" t="s">
        <v>35</v>
      </c>
      <c r="N26" s="234" t="s">
        <v>35</v>
      </c>
      <c r="O26" s="234" t="s">
        <v>35</v>
      </c>
      <c r="P26" s="234"/>
      <c r="Q26" s="234" t="s">
        <v>22</v>
      </c>
      <c r="R26" s="234" t="s">
        <v>49</v>
      </c>
      <c r="S26" s="234">
        <v>1</v>
      </c>
      <c r="T26" s="143">
        <f>U26/11</f>
        <v>11.054545454545455</v>
      </c>
      <c r="U26" s="145">
        <v>121.6</v>
      </c>
      <c r="V26" s="236"/>
    </row>
    <row r="27" spans="1:24" ht="21" customHeight="1" x14ac:dyDescent="0.2">
      <c r="A27" s="330" t="s">
        <v>342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1">
        <f>SUM(U17:U26)</f>
        <v>13431.970000000001</v>
      </c>
      <c r="U27" s="331"/>
    </row>
    <row r="28" spans="1:24" ht="18" customHeight="1" x14ac:dyDescent="0.2">
      <c r="A28" s="308" t="s">
        <v>1</v>
      </c>
      <c r="B28" s="308"/>
      <c r="C28" s="309" t="s">
        <v>2</v>
      </c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</row>
    <row r="29" spans="1:24" ht="15" x14ac:dyDescent="0.2">
      <c r="A29" s="276" t="s">
        <v>25</v>
      </c>
      <c r="B29" s="276"/>
      <c r="C29" s="277" t="s">
        <v>24</v>
      </c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7"/>
    </row>
    <row r="30" spans="1:24" ht="9" customHeight="1" x14ac:dyDescent="0.2">
      <c r="A30" s="276"/>
      <c r="B30" s="27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</row>
    <row r="31" spans="1:24" ht="18.75" customHeight="1" x14ac:dyDescent="0.2">
      <c r="A31" s="297" t="s">
        <v>5</v>
      </c>
      <c r="B31" s="295" t="s">
        <v>177</v>
      </c>
      <c r="C31" s="295" t="s">
        <v>127</v>
      </c>
      <c r="D31" s="297" t="s">
        <v>6</v>
      </c>
      <c r="E31" s="301" t="s">
        <v>7</v>
      </c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295" t="s">
        <v>128</v>
      </c>
      <c r="R31" s="295" t="s">
        <v>339</v>
      </c>
      <c r="S31" s="297" t="s">
        <v>344</v>
      </c>
      <c r="T31" s="297"/>
      <c r="U31" s="297"/>
    </row>
    <row r="32" spans="1:24" ht="20.25" customHeight="1" x14ac:dyDescent="0.2">
      <c r="A32" s="297"/>
      <c r="B32" s="295"/>
      <c r="C32" s="295"/>
      <c r="D32" s="297"/>
      <c r="E32" s="5" t="s">
        <v>8</v>
      </c>
      <c r="F32" s="5" t="s">
        <v>9</v>
      </c>
      <c r="G32" s="5" t="s">
        <v>10</v>
      </c>
      <c r="H32" s="5" t="s">
        <v>11</v>
      </c>
      <c r="I32" s="5" t="s">
        <v>10</v>
      </c>
      <c r="J32" s="5" t="s">
        <v>12</v>
      </c>
      <c r="K32" s="5" t="s">
        <v>12</v>
      </c>
      <c r="L32" s="5" t="s">
        <v>11</v>
      </c>
      <c r="M32" s="5" t="s">
        <v>13</v>
      </c>
      <c r="N32" s="5" t="s">
        <v>14</v>
      </c>
      <c r="O32" s="5" t="s">
        <v>15</v>
      </c>
      <c r="P32" s="5" t="s">
        <v>16</v>
      </c>
      <c r="Q32" s="295"/>
      <c r="R32" s="295"/>
      <c r="S32" s="161" t="s">
        <v>17</v>
      </c>
      <c r="T32" s="161" t="s">
        <v>18</v>
      </c>
      <c r="U32" s="137" t="s">
        <v>19</v>
      </c>
    </row>
    <row r="33" spans="1:22" s="22" customFormat="1" ht="49.5" customHeight="1" x14ac:dyDescent="0.25">
      <c r="A33" s="21">
        <v>2.2999999999999998</v>
      </c>
      <c r="B33" s="298" t="s">
        <v>51</v>
      </c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300"/>
    </row>
    <row r="34" spans="1:22" ht="45" x14ac:dyDescent="0.25">
      <c r="A34" s="14"/>
      <c r="B34" s="292" t="s">
        <v>52</v>
      </c>
      <c r="C34" s="320" t="s">
        <v>21</v>
      </c>
      <c r="D34" s="150" t="s">
        <v>53</v>
      </c>
      <c r="E34" s="10"/>
      <c r="F34" s="10"/>
      <c r="G34" s="10"/>
      <c r="H34" s="10"/>
      <c r="I34" s="10"/>
      <c r="J34" s="10"/>
      <c r="K34" s="10"/>
      <c r="L34" s="10"/>
      <c r="M34" s="10"/>
      <c r="N34" s="10" t="s">
        <v>35</v>
      </c>
      <c r="O34" s="10"/>
      <c r="P34" s="10"/>
      <c r="Q34" s="10" t="s">
        <v>87</v>
      </c>
      <c r="R34" s="6" t="s">
        <v>179</v>
      </c>
      <c r="S34" s="134">
        <v>1</v>
      </c>
      <c r="T34" s="143">
        <v>665.66</v>
      </c>
      <c r="U34" s="143">
        <v>665.66</v>
      </c>
    </row>
    <row r="35" spans="1:22" ht="45" x14ac:dyDescent="0.25">
      <c r="A35" s="14"/>
      <c r="B35" s="292"/>
      <c r="C35" s="321"/>
      <c r="D35" s="150" t="s">
        <v>54</v>
      </c>
      <c r="E35" s="10"/>
      <c r="F35" s="10"/>
      <c r="G35" s="10"/>
      <c r="H35" s="10"/>
      <c r="I35" s="10"/>
      <c r="J35" s="10" t="s">
        <v>35</v>
      </c>
      <c r="K35" s="10"/>
      <c r="L35" s="10"/>
      <c r="M35" s="10"/>
      <c r="N35" s="10"/>
      <c r="O35" s="10"/>
      <c r="P35" s="10"/>
      <c r="Q35" s="10" t="s">
        <v>87</v>
      </c>
      <c r="R35" s="6" t="s">
        <v>88</v>
      </c>
      <c r="S35" s="134">
        <v>1</v>
      </c>
      <c r="T35" s="143">
        <f>U35</f>
        <v>1265.6600000000001</v>
      </c>
      <c r="U35" s="143">
        <v>1265.6600000000001</v>
      </c>
    </row>
    <row r="36" spans="1:22" ht="30" x14ac:dyDescent="0.25">
      <c r="A36" s="14"/>
      <c r="B36" s="292"/>
      <c r="C36" s="321"/>
      <c r="D36" s="150" t="s">
        <v>55</v>
      </c>
      <c r="E36" s="10"/>
      <c r="F36" s="10"/>
      <c r="G36" s="10"/>
      <c r="H36" s="10"/>
      <c r="I36" s="60" t="s">
        <v>35</v>
      </c>
      <c r="J36" s="60" t="s">
        <v>35</v>
      </c>
      <c r="K36" s="60" t="s">
        <v>35</v>
      </c>
      <c r="L36" s="60" t="s">
        <v>35</v>
      </c>
      <c r="M36" s="60" t="s">
        <v>35</v>
      </c>
      <c r="N36" s="10"/>
      <c r="O36" s="10"/>
      <c r="P36" s="10"/>
      <c r="Q36" s="10" t="s">
        <v>87</v>
      </c>
      <c r="R36" s="6" t="s">
        <v>31</v>
      </c>
      <c r="S36" s="134">
        <v>1</v>
      </c>
      <c r="T36" s="143">
        <f>U36/5</f>
        <v>1450</v>
      </c>
      <c r="U36" s="143">
        <v>7250</v>
      </c>
    </row>
    <row r="37" spans="1:22" ht="45" x14ac:dyDescent="0.25">
      <c r="A37" s="14"/>
      <c r="B37" s="292"/>
      <c r="C37" s="321"/>
      <c r="D37" s="197" t="s">
        <v>56</v>
      </c>
      <c r="E37" s="198"/>
      <c r="F37" s="198"/>
      <c r="G37" s="198"/>
      <c r="H37" s="198"/>
      <c r="I37" s="198"/>
      <c r="J37" s="198" t="s">
        <v>35</v>
      </c>
      <c r="K37" s="198" t="s">
        <v>35</v>
      </c>
      <c r="L37" s="198" t="s">
        <v>35</v>
      </c>
      <c r="M37" s="198" t="s">
        <v>35</v>
      </c>
      <c r="N37" s="198" t="s">
        <v>35</v>
      </c>
      <c r="O37" s="198"/>
      <c r="P37" s="198"/>
      <c r="Q37" s="198" t="s">
        <v>87</v>
      </c>
      <c r="R37" s="199" t="s">
        <v>31</v>
      </c>
      <c r="S37" s="198">
        <v>1</v>
      </c>
      <c r="T37" s="200">
        <f>U37/5</f>
        <v>48.64</v>
      </c>
      <c r="U37" s="200">
        <v>243.2</v>
      </c>
    </row>
    <row r="38" spans="1:22" ht="30" x14ac:dyDescent="0.25">
      <c r="A38" s="14"/>
      <c r="B38" s="292"/>
      <c r="C38" s="321"/>
      <c r="D38" s="197" t="s">
        <v>57</v>
      </c>
      <c r="E38" s="198" t="s">
        <v>35</v>
      </c>
      <c r="F38" s="198" t="s">
        <v>35</v>
      </c>
      <c r="G38" s="198" t="s">
        <v>35</v>
      </c>
      <c r="H38" s="198" t="s">
        <v>35</v>
      </c>
      <c r="I38" s="198" t="s">
        <v>35</v>
      </c>
      <c r="J38" s="198" t="s">
        <v>35</v>
      </c>
      <c r="K38" s="198" t="s">
        <v>35</v>
      </c>
      <c r="L38" s="198" t="s">
        <v>35</v>
      </c>
      <c r="M38" s="198" t="s">
        <v>35</v>
      </c>
      <c r="N38" s="198" t="s">
        <v>35</v>
      </c>
      <c r="O38" s="198" t="s">
        <v>35</v>
      </c>
      <c r="P38" s="198" t="s">
        <v>35</v>
      </c>
      <c r="Q38" s="198" t="s">
        <v>87</v>
      </c>
      <c r="R38" s="199" t="s">
        <v>89</v>
      </c>
      <c r="S38" s="198">
        <v>1</v>
      </c>
      <c r="T38" s="200">
        <f>U38/12</f>
        <v>42.766666666666673</v>
      </c>
      <c r="U38" s="200">
        <v>513.20000000000005</v>
      </c>
    </row>
    <row r="39" spans="1:22" ht="45" x14ac:dyDescent="0.25">
      <c r="A39" s="14"/>
      <c r="B39" s="292"/>
      <c r="C39" s="321"/>
      <c r="D39" s="150" t="s">
        <v>58</v>
      </c>
      <c r="E39" s="10" t="s">
        <v>35</v>
      </c>
      <c r="F39" s="10" t="s">
        <v>35</v>
      </c>
      <c r="G39" s="10" t="s">
        <v>35</v>
      </c>
      <c r="H39" s="10" t="s">
        <v>35</v>
      </c>
      <c r="I39" s="10" t="s">
        <v>35</v>
      </c>
      <c r="J39" s="10" t="s">
        <v>35</v>
      </c>
      <c r="K39" s="10" t="s">
        <v>35</v>
      </c>
      <c r="L39" s="10" t="s">
        <v>35</v>
      </c>
      <c r="M39" s="10" t="s">
        <v>35</v>
      </c>
      <c r="N39" s="10" t="s">
        <v>35</v>
      </c>
      <c r="O39" s="10" t="s">
        <v>35</v>
      </c>
      <c r="P39" s="10"/>
      <c r="Q39" s="10" t="s">
        <v>87</v>
      </c>
      <c r="R39" s="6" t="s">
        <v>90</v>
      </c>
      <c r="S39" s="134">
        <v>1</v>
      </c>
      <c r="T39" s="143">
        <f>U39/11</f>
        <v>692.87272727272727</v>
      </c>
      <c r="U39" s="143">
        <v>7621.5999999999995</v>
      </c>
    </row>
    <row r="40" spans="1:22" ht="60" x14ac:dyDescent="0.25">
      <c r="A40" s="14"/>
      <c r="B40" s="292"/>
      <c r="C40" s="321"/>
      <c r="D40" s="150" t="s">
        <v>59</v>
      </c>
      <c r="E40" s="10"/>
      <c r="F40" s="10"/>
      <c r="G40" s="10"/>
      <c r="H40" s="10" t="s">
        <v>35</v>
      </c>
      <c r="I40" s="10"/>
      <c r="J40" s="10"/>
      <c r="K40" s="10"/>
      <c r="L40" s="10" t="s">
        <v>35</v>
      </c>
      <c r="M40" s="10"/>
      <c r="N40" s="10"/>
      <c r="O40" s="10" t="s">
        <v>35</v>
      </c>
      <c r="P40" s="10"/>
      <c r="Q40" s="10" t="s">
        <v>87</v>
      </c>
      <c r="R40" s="6" t="s">
        <v>181</v>
      </c>
      <c r="S40" s="134">
        <v>1</v>
      </c>
      <c r="T40" s="143">
        <f>U40/3</f>
        <v>66.666666666666671</v>
      </c>
      <c r="U40" s="143">
        <v>200</v>
      </c>
    </row>
    <row r="41" spans="1:22" ht="78" customHeight="1" x14ac:dyDescent="0.25">
      <c r="A41" s="14"/>
      <c r="B41" s="292"/>
      <c r="C41" s="321"/>
      <c r="D41" s="150" t="s">
        <v>60</v>
      </c>
      <c r="E41" s="10"/>
      <c r="F41" s="10"/>
      <c r="G41" s="10"/>
      <c r="H41" s="10"/>
      <c r="I41" s="10"/>
      <c r="J41" s="10" t="s">
        <v>35</v>
      </c>
      <c r="K41" s="10"/>
      <c r="L41" s="10" t="s">
        <v>35</v>
      </c>
      <c r="M41" s="10"/>
      <c r="N41" s="10" t="s">
        <v>35</v>
      </c>
      <c r="O41" s="10"/>
      <c r="P41" s="10"/>
      <c r="Q41" s="10" t="s">
        <v>87</v>
      </c>
      <c r="R41" s="134" t="s">
        <v>92</v>
      </c>
      <c r="S41" s="134">
        <v>1</v>
      </c>
      <c r="T41" s="143">
        <f>U41/3</f>
        <v>509.32333333333332</v>
      </c>
      <c r="U41" s="143">
        <v>1527.97</v>
      </c>
    </row>
    <row r="42" spans="1:22" ht="37.5" customHeight="1" x14ac:dyDescent="0.2">
      <c r="A42" s="14"/>
      <c r="B42" s="292"/>
      <c r="C42" s="321"/>
      <c r="D42" s="149" t="s">
        <v>61</v>
      </c>
      <c r="E42" s="10" t="s">
        <v>35</v>
      </c>
      <c r="F42" s="10" t="s">
        <v>35</v>
      </c>
      <c r="G42" s="10" t="s">
        <v>35</v>
      </c>
      <c r="H42" s="10" t="s">
        <v>35</v>
      </c>
      <c r="I42" s="10" t="s">
        <v>35</v>
      </c>
      <c r="J42" s="10" t="s">
        <v>35</v>
      </c>
      <c r="K42" s="10" t="s">
        <v>35</v>
      </c>
      <c r="L42" s="10" t="s">
        <v>35</v>
      </c>
      <c r="M42" s="10" t="s">
        <v>35</v>
      </c>
      <c r="N42" s="10" t="s">
        <v>35</v>
      </c>
      <c r="O42" s="10" t="s">
        <v>35</v>
      </c>
      <c r="P42" s="10"/>
      <c r="Q42" s="10" t="s">
        <v>87</v>
      </c>
      <c r="R42" s="134" t="s">
        <v>182</v>
      </c>
      <c r="S42" s="134">
        <v>1</v>
      </c>
      <c r="T42" s="143">
        <f>U42/11</f>
        <v>2914.7909090909093</v>
      </c>
      <c r="U42" s="143">
        <v>32062.7</v>
      </c>
    </row>
    <row r="43" spans="1:22" ht="38.25" customHeight="1" x14ac:dyDescent="0.2">
      <c r="A43" s="14"/>
      <c r="B43" s="292"/>
      <c r="C43" s="321"/>
      <c r="D43" s="149" t="s">
        <v>62</v>
      </c>
      <c r="E43" s="10" t="s">
        <v>35</v>
      </c>
      <c r="F43" s="10" t="s">
        <v>35</v>
      </c>
      <c r="G43" s="10" t="s">
        <v>35</v>
      </c>
      <c r="H43" s="10" t="s">
        <v>35</v>
      </c>
      <c r="I43" s="10" t="s">
        <v>35</v>
      </c>
      <c r="J43" s="10"/>
      <c r="K43" s="10"/>
      <c r="L43" s="10"/>
      <c r="M43" s="10"/>
      <c r="N43" s="10"/>
      <c r="O43" s="10" t="s">
        <v>35</v>
      </c>
      <c r="P43" s="10" t="s">
        <v>35</v>
      </c>
      <c r="Q43" s="10" t="s">
        <v>87</v>
      </c>
      <c r="R43" s="6" t="s">
        <v>31</v>
      </c>
      <c r="S43" s="134">
        <v>1</v>
      </c>
      <c r="T43" s="143">
        <f>U43/7</f>
        <v>714.28571428571433</v>
      </c>
      <c r="U43" s="143">
        <v>5000</v>
      </c>
    </row>
    <row r="44" spans="1:22" ht="45" x14ac:dyDescent="0.25">
      <c r="A44" s="14"/>
      <c r="B44" s="292"/>
      <c r="C44" s="321"/>
      <c r="D44" s="150" t="s">
        <v>63</v>
      </c>
      <c r="E44" s="10"/>
      <c r="F44" s="10"/>
      <c r="G44" s="10"/>
      <c r="H44" s="10"/>
      <c r="I44" s="10"/>
      <c r="J44" s="10" t="s">
        <v>35</v>
      </c>
      <c r="K44" s="10"/>
      <c r="L44" s="10"/>
      <c r="M44" s="10"/>
      <c r="N44" s="10" t="s">
        <v>35</v>
      </c>
      <c r="O44" s="10"/>
      <c r="P44" s="10"/>
      <c r="Q44" s="10" t="s">
        <v>87</v>
      </c>
      <c r="R44" s="6" t="s">
        <v>31</v>
      </c>
      <c r="S44" s="134">
        <v>1</v>
      </c>
      <c r="T44" s="143">
        <f>U44/2</f>
        <v>300</v>
      </c>
      <c r="U44" s="143">
        <v>600</v>
      </c>
    </row>
    <row r="45" spans="1:22" ht="45" x14ac:dyDescent="0.25">
      <c r="A45" s="14"/>
      <c r="B45" s="292"/>
      <c r="C45" s="321"/>
      <c r="D45" s="150" t="s">
        <v>64</v>
      </c>
      <c r="E45" s="10" t="s">
        <v>35</v>
      </c>
      <c r="F45" s="10" t="s">
        <v>35</v>
      </c>
      <c r="G45" s="10" t="s">
        <v>35</v>
      </c>
      <c r="H45" s="10" t="s">
        <v>35</v>
      </c>
      <c r="I45" s="10" t="s">
        <v>35</v>
      </c>
      <c r="J45" s="10" t="s">
        <v>35</v>
      </c>
      <c r="K45" s="10" t="s">
        <v>35</v>
      </c>
      <c r="L45" s="10" t="s">
        <v>35</v>
      </c>
      <c r="M45" s="10" t="s">
        <v>35</v>
      </c>
      <c r="N45" s="10" t="s">
        <v>35</v>
      </c>
      <c r="O45" s="10" t="s">
        <v>35</v>
      </c>
      <c r="P45" s="10" t="s">
        <v>35</v>
      </c>
      <c r="Q45" s="10" t="s">
        <v>87</v>
      </c>
      <c r="R45" s="6" t="s">
        <v>43</v>
      </c>
      <c r="S45" s="134">
        <v>1</v>
      </c>
      <c r="T45" s="143">
        <f>U45/12</f>
        <v>24.217500000000001</v>
      </c>
      <c r="U45" s="143">
        <v>290.61</v>
      </c>
    </row>
    <row r="46" spans="1:22" ht="45" x14ac:dyDescent="0.25">
      <c r="A46" s="14"/>
      <c r="B46" s="292"/>
      <c r="C46" s="321"/>
      <c r="D46" s="150" t="s">
        <v>65</v>
      </c>
      <c r="E46" s="10" t="s">
        <v>35</v>
      </c>
      <c r="F46" s="10" t="s">
        <v>35</v>
      </c>
      <c r="G46" s="10" t="s">
        <v>35</v>
      </c>
      <c r="H46" s="10" t="s">
        <v>35</v>
      </c>
      <c r="I46" s="10" t="s">
        <v>35</v>
      </c>
      <c r="J46" s="10" t="s">
        <v>35</v>
      </c>
      <c r="K46" s="10" t="s">
        <v>35</v>
      </c>
      <c r="L46" s="10" t="s">
        <v>35</v>
      </c>
      <c r="M46" s="10" t="s">
        <v>35</v>
      </c>
      <c r="N46" s="10" t="s">
        <v>35</v>
      </c>
      <c r="O46" s="10" t="s">
        <v>35</v>
      </c>
      <c r="P46" s="10" t="s">
        <v>35</v>
      </c>
      <c r="Q46" s="10" t="s">
        <v>87</v>
      </c>
      <c r="R46" s="6" t="s">
        <v>91</v>
      </c>
      <c r="S46" s="134">
        <v>1</v>
      </c>
      <c r="T46" s="143">
        <f>U46/12</f>
        <v>763.5</v>
      </c>
      <c r="U46" s="143">
        <v>9162</v>
      </c>
    </row>
    <row r="47" spans="1:22" ht="60" x14ac:dyDescent="0.25">
      <c r="A47" s="14"/>
      <c r="B47" s="292"/>
      <c r="C47" s="322"/>
      <c r="D47" s="150" t="s">
        <v>66</v>
      </c>
      <c r="E47" s="10"/>
      <c r="F47" s="10"/>
      <c r="G47" s="10" t="s">
        <v>35</v>
      </c>
      <c r="H47" s="10"/>
      <c r="I47" s="10"/>
      <c r="J47" s="10"/>
      <c r="K47" s="10"/>
      <c r="L47" s="10"/>
      <c r="M47" s="10"/>
      <c r="N47" s="10"/>
      <c r="O47" s="10" t="s">
        <v>35</v>
      </c>
      <c r="P47" s="10" t="s">
        <v>35</v>
      </c>
      <c r="Q47" s="10" t="s">
        <v>87</v>
      </c>
      <c r="R47" s="134" t="s">
        <v>92</v>
      </c>
      <c r="S47" s="134">
        <v>1</v>
      </c>
      <c r="T47" s="143">
        <f>U47/3</f>
        <v>543.17333333333329</v>
      </c>
      <c r="U47" s="143">
        <v>1629.52</v>
      </c>
      <c r="V47" s="142"/>
    </row>
    <row r="48" spans="1:22" s="22" customFormat="1" ht="53.25" customHeight="1" x14ac:dyDescent="0.25">
      <c r="A48" s="283"/>
      <c r="B48" s="289" t="s">
        <v>340</v>
      </c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4"/>
    </row>
    <row r="49" spans="1:22" ht="49.5" customHeight="1" x14ac:dyDescent="0.2">
      <c r="A49" s="284"/>
      <c r="B49" s="280" t="s">
        <v>67</v>
      </c>
      <c r="C49" s="280" t="s">
        <v>21</v>
      </c>
      <c r="D49" s="201" t="s">
        <v>68</v>
      </c>
      <c r="E49" s="198"/>
      <c r="F49" s="198"/>
      <c r="G49" s="198"/>
      <c r="H49" s="198"/>
      <c r="I49" s="198"/>
      <c r="J49" s="198" t="s">
        <v>35</v>
      </c>
      <c r="K49" s="198"/>
      <c r="L49" s="198" t="s">
        <v>35</v>
      </c>
      <c r="M49" s="198"/>
      <c r="N49" s="198" t="s">
        <v>35</v>
      </c>
      <c r="O49" s="198"/>
      <c r="P49" s="198"/>
      <c r="Q49" s="198" t="s">
        <v>87</v>
      </c>
      <c r="R49" s="198" t="s">
        <v>92</v>
      </c>
      <c r="S49" s="198">
        <v>1</v>
      </c>
      <c r="T49" s="200">
        <f>U49/3</f>
        <v>353.59999999999997</v>
      </c>
      <c r="U49" s="200">
        <v>1060.8</v>
      </c>
    </row>
    <row r="50" spans="1:22" ht="18" customHeight="1" x14ac:dyDescent="0.2">
      <c r="A50" s="284"/>
      <c r="B50" s="281"/>
      <c r="C50" s="281"/>
      <c r="D50" s="151" t="s">
        <v>69</v>
      </c>
      <c r="E50" s="10" t="s">
        <v>35</v>
      </c>
      <c r="F50" s="10" t="s">
        <v>35</v>
      </c>
      <c r="G50" s="10" t="s">
        <v>35</v>
      </c>
      <c r="H50" s="10" t="s">
        <v>35</v>
      </c>
      <c r="I50" s="10" t="s">
        <v>35</v>
      </c>
      <c r="J50" s="10" t="s">
        <v>35</v>
      </c>
      <c r="K50" s="10" t="s">
        <v>35</v>
      </c>
      <c r="L50" s="10" t="s">
        <v>35</v>
      </c>
      <c r="M50" s="10" t="s">
        <v>35</v>
      </c>
      <c r="N50" s="10" t="s">
        <v>35</v>
      </c>
      <c r="O50" s="10" t="s">
        <v>35</v>
      </c>
      <c r="P50" s="10" t="s">
        <v>35</v>
      </c>
      <c r="Q50" s="10" t="s">
        <v>87</v>
      </c>
      <c r="R50" s="6" t="s">
        <v>93</v>
      </c>
      <c r="S50" s="134">
        <v>1</v>
      </c>
      <c r="T50" s="143">
        <f>U50/12</f>
        <v>9.6150000000000002</v>
      </c>
      <c r="U50" s="143">
        <v>115.38000000000001</v>
      </c>
    </row>
    <row r="51" spans="1:22" ht="34.5" customHeight="1" x14ac:dyDescent="0.2">
      <c r="A51" s="284"/>
      <c r="B51" s="281"/>
      <c r="C51" s="281"/>
      <c r="D51" s="152" t="s">
        <v>70</v>
      </c>
      <c r="E51" s="10" t="s">
        <v>35</v>
      </c>
      <c r="F51" s="10" t="s">
        <v>35</v>
      </c>
      <c r="G51" s="10" t="s">
        <v>35</v>
      </c>
      <c r="H51" s="10" t="s">
        <v>35</v>
      </c>
      <c r="I51" s="10" t="s">
        <v>35</v>
      </c>
      <c r="J51" s="10" t="s">
        <v>35</v>
      </c>
      <c r="K51" s="10" t="s">
        <v>35</v>
      </c>
      <c r="L51" s="10" t="s">
        <v>35</v>
      </c>
      <c r="M51" s="10" t="s">
        <v>35</v>
      </c>
      <c r="N51" s="10" t="s">
        <v>35</v>
      </c>
      <c r="O51" s="10" t="s">
        <v>35</v>
      </c>
      <c r="P51" s="10" t="s">
        <v>35</v>
      </c>
      <c r="Q51" s="10" t="s">
        <v>87</v>
      </c>
      <c r="R51" s="6" t="s">
        <v>31</v>
      </c>
      <c r="S51" s="134">
        <v>1</v>
      </c>
      <c r="T51" s="143">
        <f>U51/12</f>
        <v>8516.3133333333335</v>
      </c>
      <c r="U51" s="143">
        <v>102195.76000000001</v>
      </c>
    </row>
    <row r="52" spans="1:22" ht="34.5" customHeight="1" x14ac:dyDescent="0.2">
      <c r="A52" s="284"/>
      <c r="B52" s="281"/>
      <c r="C52" s="281"/>
      <c r="D52" s="151" t="s">
        <v>71</v>
      </c>
      <c r="E52" s="10" t="s">
        <v>35</v>
      </c>
      <c r="F52" s="10" t="s">
        <v>35</v>
      </c>
      <c r="G52" s="59" t="s">
        <v>35</v>
      </c>
      <c r="H52" s="59" t="s">
        <v>35</v>
      </c>
      <c r="I52" s="59" t="s">
        <v>35</v>
      </c>
      <c r="J52" s="59" t="s">
        <v>35</v>
      </c>
      <c r="K52" s="59" t="s">
        <v>35</v>
      </c>
      <c r="L52" s="59" t="s">
        <v>35</v>
      </c>
      <c r="M52" s="59" t="s">
        <v>35</v>
      </c>
      <c r="N52" s="59" t="s">
        <v>35</v>
      </c>
      <c r="O52" s="59" t="s">
        <v>35</v>
      </c>
      <c r="P52" s="59" t="s">
        <v>35</v>
      </c>
      <c r="Q52" s="10" t="s">
        <v>87</v>
      </c>
      <c r="R52" s="6" t="s">
        <v>94</v>
      </c>
      <c r="S52" s="134">
        <v>1</v>
      </c>
      <c r="T52" s="143">
        <f>U52/12</f>
        <v>83.333333333333329</v>
      </c>
      <c r="U52" s="143">
        <v>1000</v>
      </c>
    </row>
    <row r="53" spans="1:22" ht="44.25" customHeight="1" x14ac:dyDescent="0.2">
      <c r="A53" s="284"/>
      <c r="B53" s="281"/>
      <c r="C53" s="281"/>
      <c r="D53" s="151" t="s">
        <v>72</v>
      </c>
      <c r="E53" s="10" t="s">
        <v>35</v>
      </c>
      <c r="F53" s="10" t="s">
        <v>35</v>
      </c>
      <c r="G53" s="59" t="s">
        <v>35</v>
      </c>
      <c r="H53" s="59" t="s">
        <v>35</v>
      </c>
      <c r="I53" s="59" t="s">
        <v>35</v>
      </c>
      <c r="J53" s="59" t="s">
        <v>35</v>
      </c>
      <c r="K53" s="59" t="s">
        <v>35</v>
      </c>
      <c r="L53" s="59" t="s">
        <v>35</v>
      </c>
      <c r="M53" s="59" t="s">
        <v>35</v>
      </c>
      <c r="N53" s="59" t="s">
        <v>35</v>
      </c>
      <c r="O53" s="59" t="s">
        <v>35</v>
      </c>
      <c r="P53" s="59" t="s">
        <v>35</v>
      </c>
      <c r="Q53" s="10" t="s">
        <v>87</v>
      </c>
      <c r="R53" s="6" t="s">
        <v>94</v>
      </c>
      <c r="S53" s="134">
        <v>1</v>
      </c>
      <c r="T53" s="143">
        <f>U53/12</f>
        <v>83.333333333333329</v>
      </c>
      <c r="U53" s="143">
        <v>1000</v>
      </c>
    </row>
    <row r="54" spans="1:22" ht="45" x14ac:dyDescent="0.2">
      <c r="A54" s="284"/>
      <c r="B54" s="281"/>
      <c r="C54" s="281"/>
      <c r="D54" s="152" t="s">
        <v>73</v>
      </c>
      <c r="E54" s="10"/>
      <c r="F54" s="10"/>
      <c r="G54" s="10" t="s">
        <v>35</v>
      </c>
      <c r="H54" s="10"/>
      <c r="I54" s="10"/>
      <c r="J54" s="10"/>
      <c r="K54" s="10"/>
      <c r="L54" s="10"/>
      <c r="M54" s="10"/>
      <c r="N54" s="10" t="s">
        <v>35</v>
      </c>
      <c r="O54" s="10"/>
      <c r="P54" s="10"/>
      <c r="Q54" s="10" t="s">
        <v>87</v>
      </c>
      <c r="R54" s="6" t="s">
        <v>95</v>
      </c>
      <c r="S54" s="134">
        <v>1</v>
      </c>
      <c r="T54" s="143">
        <f>U54/2</f>
        <v>45.4</v>
      </c>
      <c r="U54" s="143">
        <v>90.8</v>
      </c>
    </row>
    <row r="55" spans="1:22" ht="30" x14ac:dyDescent="0.2">
      <c r="A55" s="285"/>
      <c r="B55" s="282"/>
      <c r="C55" s="282"/>
      <c r="D55" s="152" t="s">
        <v>74</v>
      </c>
      <c r="E55" s="10"/>
      <c r="F55" s="10"/>
      <c r="G55" s="10" t="s">
        <v>35</v>
      </c>
      <c r="H55" s="10"/>
      <c r="I55" s="10"/>
      <c r="J55" s="10" t="s">
        <v>35</v>
      </c>
      <c r="K55" s="10"/>
      <c r="L55" s="10"/>
      <c r="M55" s="10" t="s">
        <v>35</v>
      </c>
      <c r="N55" s="10"/>
      <c r="O55" s="10"/>
      <c r="P55" s="10" t="s">
        <v>35</v>
      </c>
      <c r="Q55" s="10" t="s">
        <v>87</v>
      </c>
      <c r="R55" s="6" t="s">
        <v>31</v>
      </c>
      <c r="S55" s="134">
        <v>1</v>
      </c>
      <c r="T55" s="143">
        <f>U55/4</f>
        <v>381.99250000000001</v>
      </c>
      <c r="U55" s="143">
        <v>1527.97</v>
      </c>
      <c r="V55" s="142"/>
    </row>
    <row r="56" spans="1:22" ht="53.25" customHeight="1" x14ac:dyDescent="0.2">
      <c r="A56" s="286"/>
      <c r="B56" s="289" t="s">
        <v>114</v>
      </c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1"/>
    </row>
    <row r="57" spans="1:22" ht="72" customHeight="1" x14ac:dyDescent="0.2">
      <c r="A57" s="287"/>
      <c r="B57" s="292" t="s">
        <v>115</v>
      </c>
      <c r="C57" s="280" t="s">
        <v>21</v>
      </c>
      <c r="D57" s="131" t="s">
        <v>184</v>
      </c>
      <c r="E57" s="13"/>
      <c r="F57" s="13"/>
      <c r="G57" s="13" t="s">
        <v>35</v>
      </c>
      <c r="H57" s="13" t="s">
        <v>35</v>
      </c>
      <c r="I57" s="13" t="s">
        <v>35</v>
      </c>
      <c r="J57" s="13" t="s">
        <v>35</v>
      </c>
      <c r="K57" s="13" t="s">
        <v>35</v>
      </c>
      <c r="L57" s="13" t="s">
        <v>35</v>
      </c>
      <c r="M57" s="13" t="s">
        <v>35</v>
      </c>
      <c r="N57" s="13"/>
      <c r="O57" s="13"/>
      <c r="P57" s="13"/>
      <c r="Q57" s="10" t="s">
        <v>87</v>
      </c>
      <c r="R57" s="13" t="s">
        <v>31</v>
      </c>
      <c r="S57" s="134">
        <v>1</v>
      </c>
      <c r="T57" s="143">
        <f>U57/7</f>
        <v>132.56714285714287</v>
      </c>
      <c r="U57" s="143">
        <v>927.97</v>
      </c>
    </row>
    <row r="58" spans="1:22" ht="67.5" customHeight="1" x14ac:dyDescent="0.2">
      <c r="A58" s="287"/>
      <c r="B58" s="292"/>
      <c r="C58" s="281"/>
      <c r="D58" s="131" t="s">
        <v>116</v>
      </c>
      <c r="E58" s="13"/>
      <c r="F58" s="13"/>
      <c r="G58" s="13"/>
      <c r="H58" s="13" t="s">
        <v>35</v>
      </c>
      <c r="I58" s="13" t="s">
        <v>35</v>
      </c>
      <c r="J58" s="13" t="s">
        <v>35</v>
      </c>
      <c r="K58" s="13" t="s">
        <v>35</v>
      </c>
      <c r="L58" s="13" t="s">
        <v>35</v>
      </c>
      <c r="M58" s="13" t="s">
        <v>35</v>
      </c>
      <c r="N58" s="13" t="s">
        <v>35</v>
      </c>
      <c r="O58" s="13"/>
      <c r="P58" s="13"/>
      <c r="Q58" s="10" t="s">
        <v>87</v>
      </c>
      <c r="R58" s="13" t="s">
        <v>119</v>
      </c>
      <c r="S58" s="134">
        <v>1</v>
      </c>
      <c r="T58" s="143">
        <f>U58/7</f>
        <v>3.9957142857142856</v>
      </c>
      <c r="U58" s="143">
        <v>27.97</v>
      </c>
    </row>
    <row r="59" spans="1:22" ht="53.25" customHeight="1" x14ac:dyDescent="0.2">
      <c r="A59" s="287"/>
      <c r="B59" s="292"/>
      <c r="C59" s="281"/>
      <c r="D59" s="131" t="s">
        <v>117</v>
      </c>
      <c r="E59" s="13"/>
      <c r="F59" s="13" t="s">
        <v>35</v>
      </c>
      <c r="G59" s="13"/>
      <c r="H59" s="13"/>
      <c r="I59" s="13"/>
      <c r="J59" s="13"/>
      <c r="K59" s="13"/>
      <c r="L59" s="13"/>
      <c r="M59" s="13" t="s">
        <v>35</v>
      </c>
      <c r="N59" s="13" t="s">
        <v>35</v>
      </c>
      <c r="O59" s="13"/>
      <c r="P59" s="13"/>
      <c r="Q59" s="10" t="s">
        <v>87</v>
      </c>
      <c r="R59" s="13" t="s">
        <v>120</v>
      </c>
      <c r="S59" s="134">
        <v>1</v>
      </c>
      <c r="T59" s="143">
        <f>U59/3</f>
        <v>9.3233333333333324</v>
      </c>
      <c r="U59" s="143">
        <v>27.97</v>
      </c>
    </row>
    <row r="60" spans="1:22" ht="79.5" customHeight="1" x14ac:dyDescent="0.2">
      <c r="A60" s="288"/>
      <c r="B60" s="292"/>
      <c r="C60" s="282"/>
      <c r="D60" s="131" t="s">
        <v>118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 t="s">
        <v>35</v>
      </c>
      <c r="P60" s="13"/>
      <c r="Q60" s="10" t="s">
        <v>87</v>
      </c>
      <c r="R60" s="13" t="s">
        <v>119</v>
      </c>
      <c r="S60" s="134">
        <v>1</v>
      </c>
      <c r="T60" s="143">
        <f>U60</f>
        <v>27.97</v>
      </c>
      <c r="U60" s="143">
        <v>27.97</v>
      </c>
      <c r="V60" s="142"/>
    </row>
    <row r="61" spans="1:22" ht="53.25" customHeight="1" x14ac:dyDescent="0.2">
      <c r="A61" s="286"/>
      <c r="B61" s="289" t="s">
        <v>113</v>
      </c>
      <c r="C61" s="290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1"/>
    </row>
    <row r="62" spans="1:22" ht="114" x14ac:dyDescent="0.2">
      <c r="A62" s="288"/>
      <c r="B62" s="11" t="s">
        <v>112</v>
      </c>
      <c r="C62" s="133" t="s">
        <v>21</v>
      </c>
      <c r="D62" s="149" t="s">
        <v>97</v>
      </c>
      <c r="E62" s="10" t="s">
        <v>35</v>
      </c>
      <c r="F62" s="10" t="s">
        <v>35</v>
      </c>
      <c r="G62" s="10" t="s">
        <v>35</v>
      </c>
      <c r="H62" s="10" t="s">
        <v>35</v>
      </c>
      <c r="I62" s="10" t="s">
        <v>35</v>
      </c>
      <c r="J62" s="10"/>
      <c r="K62" s="10"/>
      <c r="L62" s="10"/>
      <c r="M62" s="10"/>
      <c r="N62" s="10"/>
      <c r="O62" s="10"/>
      <c r="P62" s="10"/>
      <c r="Q62" s="10" t="s">
        <v>87</v>
      </c>
      <c r="R62" s="59" t="s">
        <v>98</v>
      </c>
      <c r="S62" s="134">
        <v>1</v>
      </c>
      <c r="T62" s="143">
        <f>U62/5</f>
        <v>5.5939999999999994</v>
      </c>
      <c r="U62" s="143">
        <v>27.97</v>
      </c>
      <c r="V62" s="142"/>
    </row>
    <row r="63" spans="1:22" ht="53.25" customHeight="1" x14ac:dyDescent="0.2">
      <c r="A63" s="286"/>
      <c r="B63" s="289" t="s">
        <v>101</v>
      </c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1"/>
    </row>
    <row r="64" spans="1:22" ht="159.75" customHeight="1" x14ac:dyDescent="0.2">
      <c r="A64" s="287"/>
      <c r="B64" s="13" t="s">
        <v>99</v>
      </c>
      <c r="C64" s="134" t="s">
        <v>21</v>
      </c>
      <c r="D64" s="149" t="s">
        <v>75</v>
      </c>
      <c r="E64" s="16"/>
      <c r="F64" s="16"/>
      <c r="G64" s="16"/>
      <c r="H64" s="16" t="s">
        <v>35</v>
      </c>
      <c r="I64" s="16"/>
      <c r="J64" s="16"/>
      <c r="K64" s="16" t="s">
        <v>35</v>
      </c>
      <c r="L64" s="16"/>
      <c r="M64" s="16" t="s">
        <v>35</v>
      </c>
      <c r="N64" s="16"/>
      <c r="O64" s="16"/>
      <c r="P64" s="16"/>
      <c r="Q64" s="16" t="s">
        <v>87</v>
      </c>
      <c r="R64" s="16" t="s">
        <v>43</v>
      </c>
      <c r="S64" s="16">
        <v>1</v>
      </c>
      <c r="T64" s="144">
        <f>U64/3</f>
        <v>21.886666666666667</v>
      </c>
      <c r="U64" s="144">
        <v>65.66</v>
      </c>
    </row>
    <row r="65" spans="1:22" ht="99.75" customHeight="1" x14ac:dyDescent="0.25">
      <c r="A65" s="287"/>
      <c r="B65" s="280" t="s">
        <v>100</v>
      </c>
      <c r="C65" s="280" t="s">
        <v>21</v>
      </c>
      <c r="D65" s="153" t="s">
        <v>76</v>
      </c>
      <c r="E65" s="17" t="s">
        <v>35</v>
      </c>
      <c r="F65" s="17"/>
      <c r="G65" s="17"/>
      <c r="H65" s="17"/>
      <c r="I65" s="17"/>
      <c r="J65" s="17"/>
      <c r="K65" s="17" t="s">
        <v>35</v>
      </c>
      <c r="L65" s="17"/>
      <c r="M65" s="17"/>
      <c r="N65" s="17"/>
      <c r="O65" s="17"/>
      <c r="P65" s="17"/>
      <c r="Q65" s="16" t="s">
        <v>87</v>
      </c>
      <c r="R65" s="16" t="s">
        <v>96</v>
      </c>
      <c r="S65" s="16">
        <v>1</v>
      </c>
      <c r="T65" s="144">
        <f>U65/2</f>
        <v>60.8</v>
      </c>
      <c r="U65" s="144">
        <v>121.6</v>
      </c>
    </row>
    <row r="66" spans="1:22" ht="42.75" x14ac:dyDescent="0.25">
      <c r="A66" s="287"/>
      <c r="B66" s="281"/>
      <c r="C66" s="281"/>
      <c r="D66" s="153" t="s">
        <v>77</v>
      </c>
      <c r="E66" s="17" t="s">
        <v>35</v>
      </c>
      <c r="F66" s="17"/>
      <c r="G66" s="17"/>
      <c r="H66" s="17"/>
      <c r="I66" s="17"/>
      <c r="J66" s="17" t="s">
        <v>35</v>
      </c>
      <c r="K66" s="17"/>
      <c r="L66" s="17"/>
      <c r="M66" s="17"/>
      <c r="N66" s="17"/>
      <c r="O66" s="17"/>
      <c r="P66" s="17"/>
      <c r="Q66" s="16" t="s">
        <v>87</v>
      </c>
      <c r="R66" s="15" t="s">
        <v>102</v>
      </c>
      <c r="S66" s="16">
        <v>1</v>
      </c>
      <c r="T66" s="144">
        <f>U66/2</f>
        <v>49.244999999999997</v>
      </c>
      <c r="U66" s="144">
        <v>98.49</v>
      </c>
    </row>
    <row r="67" spans="1:22" ht="57" x14ac:dyDescent="0.2">
      <c r="A67" s="287"/>
      <c r="B67" s="281"/>
      <c r="C67" s="281"/>
      <c r="D67" s="154" t="s">
        <v>183</v>
      </c>
      <c r="E67" s="17"/>
      <c r="F67" s="17"/>
      <c r="G67" s="17" t="s">
        <v>35</v>
      </c>
      <c r="H67" s="17"/>
      <c r="I67" s="17"/>
      <c r="J67" s="17" t="s">
        <v>35</v>
      </c>
      <c r="K67" s="17"/>
      <c r="L67" s="17"/>
      <c r="M67" s="17"/>
      <c r="N67" s="17" t="s">
        <v>35</v>
      </c>
      <c r="O67" s="17"/>
      <c r="P67" s="17"/>
      <c r="Q67" s="16" t="s">
        <v>87</v>
      </c>
      <c r="R67" s="15" t="s">
        <v>103</v>
      </c>
      <c r="S67" s="16">
        <v>1</v>
      </c>
      <c r="T67" s="144">
        <f>U67/3</f>
        <v>2551.5733333333333</v>
      </c>
      <c r="U67" s="144">
        <v>7654.72</v>
      </c>
    </row>
    <row r="68" spans="1:22" ht="57" x14ac:dyDescent="0.25">
      <c r="A68" s="287"/>
      <c r="B68" s="281"/>
      <c r="C68" s="281"/>
      <c r="D68" s="202" t="s">
        <v>78</v>
      </c>
      <c r="E68" s="203"/>
      <c r="F68" s="203"/>
      <c r="G68" s="203"/>
      <c r="H68" s="203"/>
      <c r="I68" s="203" t="s">
        <v>35</v>
      </c>
      <c r="J68" s="203"/>
      <c r="K68" s="203"/>
      <c r="L68" s="203" t="s">
        <v>35</v>
      </c>
      <c r="M68" s="203"/>
      <c r="N68" s="203"/>
      <c r="O68" s="203"/>
      <c r="P68" s="203"/>
      <c r="Q68" s="204" t="s">
        <v>87</v>
      </c>
      <c r="R68" s="205" t="s">
        <v>104</v>
      </c>
      <c r="S68" s="204">
        <v>1</v>
      </c>
      <c r="T68" s="206">
        <f>U68/2</f>
        <v>216.41499999999999</v>
      </c>
      <c r="U68" s="206">
        <v>432.83</v>
      </c>
    </row>
    <row r="69" spans="1:22" ht="45" x14ac:dyDescent="0.25">
      <c r="A69" s="287"/>
      <c r="B69" s="281"/>
      <c r="C69" s="281"/>
      <c r="D69" s="153" t="s">
        <v>79</v>
      </c>
      <c r="E69" s="17"/>
      <c r="F69" s="17"/>
      <c r="G69" s="17"/>
      <c r="H69" s="17"/>
      <c r="I69" s="17" t="s">
        <v>35</v>
      </c>
      <c r="J69" s="17"/>
      <c r="K69" s="17" t="s">
        <v>35</v>
      </c>
      <c r="L69" s="17"/>
      <c r="M69" s="17" t="s">
        <v>35</v>
      </c>
      <c r="N69" s="17"/>
      <c r="O69" s="17"/>
      <c r="P69" s="17"/>
      <c r="Q69" s="16" t="s">
        <v>87</v>
      </c>
      <c r="R69" s="15" t="s">
        <v>105</v>
      </c>
      <c r="S69" s="16">
        <v>1</v>
      </c>
      <c r="T69" s="144">
        <f>U69/3</f>
        <v>2309.3233333333333</v>
      </c>
      <c r="U69" s="144">
        <v>6927.97</v>
      </c>
    </row>
    <row r="70" spans="1:22" ht="71.25" x14ac:dyDescent="0.25">
      <c r="A70" s="287"/>
      <c r="B70" s="281"/>
      <c r="C70" s="281"/>
      <c r="D70" s="153" t="s">
        <v>80</v>
      </c>
      <c r="E70" s="17" t="s">
        <v>35</v>
      </c>
      <c r="F70" s="17" t="s">
        <v>35</v>
      </c>
      <c r="G70" s="17" t="s">
        <v>35</v>
      </c>
      <c r="H70" s="17" t="s">
        <v>35</v>
      </c>
      <c r="I70" s="17" t="s">
        <v>35</v>
      </c>
      <c r="J70" s="17" t="s">
        <v>35</v>
      </c>
      <c r="K70" s="17" t="s">
        <v>35</v>
      </c>
      <c r="L70" s="17" t="s">
        <v>35</v>
      </c>
      <c r="M70" s="17" t="s">
        <v>35</v>
      </c>
      <c r="N70" s="17" t="s">
        <v>35</v>
      </c>
      <c r="O70" s="17" t="s">
        <v>35</v>
      </c>
      <c r="P70" s="17" t="s">
        <v>35</v>
      </c>
      <c r="Q70" s="16" t="s">
        <v>87</v>
      </c>
      <c r="R70" s="15" t="s">
        <v>106</v>
      </c>
      <c r="S70" s="16">
        <v>1</v>
      </c>
      <c r="T70" s="144">
        <f>U70/12</f>
        <v>5.0666666666666664</v>
      </c>
      <c r="U70" s="144">
        <v>60.8</v>
      </c>
    </row>
    <row r="71" spans="1:22" ht="50.25" customHeight="1" x14ac:dyDescent="0.25">
      <c r="A71" s="287"/>
      <c r="B71" s="281"/>
      <c r="C71" s="281"/>
      <c r="D71" s="153" t="s">
        <v>81</v>
      </c>
      <c r="E71" s="17"/>
      <c r="F71" s="17" t="s">
        <v>35</v>
      </c>
      <c r="G71" s="17" t="s">
        <v>35</v>
      </c>
      <c r="H71" s="17" t="s">
        <v>35</v>
      </c>
      <c r="I71" s="17" t="s">
        <v>35</v>
      </c>
      <c r="J71" s="17" t="s">
        <v>35</v>
      </c>
      <c r="K71" s="17" t="s">
        <v>35</v>
      </c>
      <c r="L71" s="17" t="s">
        <v>35</v>
      </c>
      <c r="M71" s="17" t="s">
        <v>35</v>
      </c>
      <c r="N71" s="17" t="s">
        <v>35</v>
      </c>
      <c r="O71" s="17"/>
      <c r="P71" s="17"/>
      <c r="Q71" s="16" t="s">
        <v>87</v>
      </c>
      <c r="R71" s="15" t="s">
        <v>31</v>
      </c>
      <c r="S71" s="16">
        <v>1</v>
      </c>
      <c r="T71" s="144">
        <f>U71/9</f>
        <v>333.33333333333331</v>
      </c>
      <c r="U71" s="144">
        <v>3000</v>
      </c>
    </row>
    <row r="72" spans="1:22" ht="30" x14ac:dyDescent="0.25">
      <c r="A72" s="287"/>
      <c r="B72" s="281"/>
      <c r="C72" s="281"/>
      <c r="D72" s="153" t="s">
        <v>82</v>
      </c>
      <c r="E72" s="17"/>
      <c r="F72" s="17"/>
      <c r="G72" s="17"/>
      <c r="H72" s="17" t="s">
        <v>35</v>
      </c>
      <c r="I72" s="17"/>
      <c r="J72" s="17" t="s">
        <v>35</v>
      </c>
      <c r="K72" s="17"/>
      <c r="L72" s="17"/>
      <c r="M72" s="17"/>
      <c r="N72" s="17"/>
      <c r="O72" s="17"/>
      <c r="P72" s="17"/>
      <c r="Q72" s="16" t="s">
        <v>87</v>
      </c>
      <c r="R72" s="15" t="s">
        <v>107</v>
      </c>
      <c r="S72" s="16">
        <v>1</v>
      </c>
      <c r="T72" s="144">
        <f>U72/2</f>
        <v>30.4</v>
      </c>
      <c r="U72" s="144">
        <v>60.8</v>
      </c>
    </row>
    <row r="73" spans="1:22" ht="45" x14ac:dyDescent="0.25">
      <c r="A73" s="287"/>
      <c r="B73" s="281"/>
      <c r="C73" s="281"/>
      <c r="D73" s="153" t="s">
        <v>83</v>
      </c>
      <c r="E73" s="17"/>
      <c r="F73" s="17"/>
      <c r="G73" s="17" t="s">
        <v>35</v>
      </c>
      <c r="H73" s="17" t="s">
        <v>35</v>
      </c>
      <c r="I73" s="17" t="s">
        <v>35</v>
      </c>
      <c r="J73" s="17" t="s">
        <v>35</v>
      </c>
      <c r="K73" s="17" t="s">
        <v>35</v>
      </c>
      <c r="L73" s="17" t="s">
        <v>35</v>
      </c>
      <c r="M73" s="17" t="s">
        <v>35</v>
      </c>
      <c r="N73" s="17" t="s">
        <v>35</v>
      </c>
      <c r="O73" s="17" t="s">
        <v>35</v>
      </c>
      <c r="P73" s="17"/>
      <c r="Q73" s="16" t="s">
        <v>87</v>
      </c>
      <c r="R73" s="15" t="s">
        <v>108</v>
      </c>
      <c r="S73" s="16">
        <v>1</v>
      </c>
      <c r="T73" s="144">
        <f>U73/9</f>
        <v>169.77444444444444</v>
      </c>
      <c r="U73" s="144">
        <v>1527.97</v>
      </c>
    </row>
    <row r="74" spans="1:22" ht="42.75" x14ac:dyDescent="0.25">
      <c r="A74" s="287"/>
      <c r="B74" s="281"/>
      <c r="C74" s="281"/>
      <c r="D74" s="153" t="s">
        <v>84</v>
      </c>
      <c r="E74" s="17"/>
      <c r="F74" s="17"/>
      <c r="G74" s="17" t="s">
        <v>186</v>
      </c>
      <c r="H74" s="17"/>
      <c r="I74" s="17"/>
      <c r="J74" s="17" t="s">
        <v>186</v>
      </c>
      <c r="K74" s="17"/>
      <c r="L74" s="17"/>
      <c r="M74" s="17" t="s">
        <v>186</v>
      </c>
      <c r="N74" s="17"/>
      <c r="O74" s="17"/>
      <c r="P74" s="17"/>
      <c r="Q74" s="16" t="s">
        <v>87</v>
      </c>
      <c r="R74" s="15" t="s">
        <v>109</v>
      </c>
      <c r="S74" s="16">
        <v>1</v>
      </c>
      <c r="T74" s="144">
        <f>U74/3</f>
        <v>21.886666666666667</v>
      </c>
      <c r="U74" s="144">
        <v>65.66</v>
      </c>
    </row>
    <row r="75" spans="1:22" ht="71.25" x14ac:dyDescent="0.25">
      <c r="A75" s="287"/>
      <c r="B75" s="281"/>
      <c r="C75" s="281"/>
      <c r="D75" s="153" t="s">
        <v>85</v>
      </c>
      <c r="E75" s="17"/>
      <c r="F75" s="17"/>
      <c r="G75" s="17"/>
      <c r="H75" s="17"/>
      <c r="I75" s="17"/>
      <c r="J75" s="17" t="s">
        <v>35</v>
      </c>
      <c r="K75" s="17"/>
      <c r="L75" s="17"/>
      <c r="M75" s="17"/>
      <c r="N75" s="17"/>
      <c r="O75" s="17" t="s">
        <v>35</v>
      </c>
      <c r="P75" s="17"/>
      <c r="Q75" s="16" t="s">
        <v>87</v>
      </c>
      <c r="R75" s="19" t="s">
        <v>110</v>
      </c>
      <c r="S75" s="16">
        <v>1</v>
      </c>
      <c r="T75" s="144">
        <f>U75/2</f>
        <v>316.41500000000002</v>
      </c>
      <c r="U75" s="144">
        <v>632.83000000000004</v>
      </c>
    </row>
    <row r="76" spans="1:22" ht="60.75" thickBot="1" x14ac:dyDescent="0.3">
      <c r="A76" s="287"/>
      <c r="B76" s="281"/>
      <c r="C76" s="281"/>
      <c r="D76" s="155" t="s">
        <v>86</v>
      </c>
      <c r="E76" s="156"/>
      <c r="F76" s="156"/>
      <c r="G76" s="156" t="s">
        <v>35</v>
      </c>
      <c r="H76" s="156"/>
      <c r="I76" s="156"/>
      <c r="J76" s="156" t="s">
        <v>35</v>
      </c>
      <c r="K76" s="156" t="s">
        <v>35</v>
      </c>
      <c r="L76" s="156" t="s">
        <v>35</v>
      </c>
      <c r="M76" s="156"/>
      <c r="N76" s="156"/>
      <c r="O76" s="156"/>
      <c r="P76" s="156"/>
      <c r="Q76" s="157" t="s">
        <v>87</v>
      </c>
      <c r="R76" s="158" t="s">
        <v>111</v>
      </c>
      <c r="S76" s="157">
        <v>1</v>
      </c>
      <c r="T76" s="148">
        <f>U76/4</f>
        <v>375</v>
      </c>
      <c r="U76" s="148">
        <v>1500</v>
      </c>
      <c r="V76" s="142"/>
    </row>
    <row r="77" spans="1:22" ht="16.5" thickBot="1" x14ac:dyDescent="0.3">
      <c r="A77" s="315" t="s">
        <v>342</v>
      </c>
      <c r="B77" s="316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7"/>
      <c r="T77" s="332">
        <f>SUM(U34:U76)</f>
        <v>198212.00999999998</v>
      </c>
      <c r="U77" s="333"/>
      <c r="V77" s="238"/>
    </row>
    <row r="79" spans="1:22" ht="12.75" customHeight="1" x14ac:dyDescent="0.2">
      <c r="A79" s="308" t="s">
        <v>1</v>
      </c>
      <c r="B79" s="308"/>
      <c r="C79" s="309" t="s">
        <v>2</v>
      </c>
      <c r="D79" s="309"/>
      <c r="E79" s="309"/>
      <c r="F79" s="309"/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</row>
    <row r="80" spans="1:22" ht="15" x14ac:dyDescent="0.2">
      <c r="A80" s="276" t="s">
        <v>26</v>
      </c>
      <c r="B80" s="276"/>
      <c r="C80" s="277" t="s">
        <v>27</v>
      </c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7"/>
    </row>
    <row r="81" spans="1:22" ht="9" customHeight="1" x14ac:dyDescent="0.2">
      <c r="A81" s="276"/>
      <c r="B81" s="27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</row>
    <row r="82" spans="1:22" ht="18.75" customHeight="1" x14ac:dyDescent="0.2">
      <c r="A82" s="297" t="s">
        <v>5</v>
      </c>
      <c r="B82" s="295" t="s">
        <v>177</v>
      </c>
      <c r="C82" s="295" t="s">
        <v>127</v>
      </c>
      <c r="D82" s="297" t="s">
        <v>6</v>
      </c>
      <c r="E82" s="301" t="s">
        <v>7</v>
      </c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295" t="s">
        <v>128</v>
      </c>
      <c r="R82" s="295" t="s">
        <v>339</v>
      </c>
      <c r="S82" s="297" t="s">
        <v>344</v>
      </c>
      <c r="T82" s="297"/>
      <c r="U82" s="297"/>
    </row>
    <row r="83" spans="1:22" ht="20.25" customHeight="1" x14ac:dyDescent="0.2">
      <c r="A83" s="297"/>
      <c r="B83" s="295"/>
      <c r="C83" s="295"/>
      <c r="D83" s="297"/>
      <c r="E83" s="5" t="s">
        <v>8</v>
      </c>
      <c r="F83" s="5" t="s">
        <v>9</v>
      </c>
      <c r="G83" s="5" t="s">
        <v>10</v>
      </c>
      <c r="H83" s="5" t="s">
        <v>11</v>
      </c>
      <c r="I83" s="5" t="s">
        <v>10</v>
      </c>
      <c r="J83" s="5" t="s">
        <v>12</v>
      </c>
      <c r="K83" s="5" t="s">
        <v>12</v>
      </c>
      <c r="L83" s="5" t="s">
        <v>11</v>
      </c>
      <c r="M83" s="5" t="s">
        <v>13</v>
      </c>
      <c r="N83" s="5" t="s">
        <v>14</v>
      </c>
      <c r="O83" s="5" t="s">
        <v>15</v>
      </c>
      <c r="P83" s="5" t="s">
        <v>16</v>
      </c>
      <c r="Q83" s="295"/>
      <c r="R83" s="295"/>
      <c r="S83" s="161" t="s">
        <v>17</v>
      </c>
      <c r="T83" s="161" t="s">
        <v>18</v>
      </c>
      <c r="U83" s="137" t="s">
        <v>19</v>
      </c>
    </row>
    <row r="84" spans="1:22" ht="30" customHeight="1" x14ac:dyDescent="0.2">
      <c r="A84" s="278"/>
      <c r="B84" s="334" t="s">
        <v>121</v>
      </c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6"/>
    </row>
    <row r="85" spans="1:22" ht="138" customHeight="1" thickBot="1" x14ac:dyDescent="0.25">
      <c r="A85" s="279"/>
      <c r="B85" s="23" t="s">
        <v>122</v>
      </c>
      <c r="C85" s="16" t="s">
        <v>341</v>
      </c>
      <c r="D85" s="131" t="s">
        <v>123</v>
      </c>
      <c r="E85" s="16"/>
      <c r="F85" s="16"/>
      <c r="G85" s="16"/>
      <c r="H85" s="16"/>
      <c r="I85" s="16"/>
      <c r="J85" s="16"/>
      <c r="K85" s="16"/>
      <c r="L85" s="16"/>
      <c r="M85" s="16"/>
      <c r="N85" s="16" t="s">
        <v>35</v>
      </c>
      <c r="O85" s="16" t="s">
        <v>35</v>
      </c>
      <c r="P85" s="16"/>
      <c r="Q85" s="16" t="s">
        <v>87</v>
      </c>
      <c r="R85" s="16" t="s">
        <v>31</v>
      </c>
      <c r="S85" s="16">
        <v>1</v>
      </c>
      <c r="T85" s="148">
        <f>U85/2</f>
        <v>178880</v>
      </c>
      <c r="U85" s="148">
        <v>357760</v>
      </c>
    </row>
    <row r="86" spans="1:22" ht="16.5" customHeight="1" thickBot="1" x14ac:dyDescent="0.25">
      <c r="A86" s="315" t="s">
        <v>342</v>
      </c>
      <c r="B86" s="316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7"/>
      <c r="T86" s="318">
        <f>SUM(U84:U85)</f>
        <v>357760</v>
      </c>
      <c r="U86" s="319"/>
      <c r="V86" s="142"/>
    </row>
    <row r="87" spans="1:22" ht="25.5" customHeight="1" thickBot="1" x14ac:dyDescent="0.25">
      <c r="A87" s="323" t="s">
        <v>343</v>
      </c>
      <c r="B87" s="324"/>
      <c r="C87" s="324"/>
      <c r="D87" s="324"/>
      <c r="E87" s="324"/>
      <c r="F87" s="324"/>
      <c r="G87" s="324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5"/>
      <c r="T87" s="326">
        <f>T86+T77+T27+T11</f>
        <v>1131488.6454545455</v>
      </c>
      <c r="U87" s="327"/>
      <c r="V87" s="142"/>
    </row>
  </sheetData>
  <mergeCells count="97">
    <mergeCell ref="A87:S87"/>
    <mergeCell ref="T87:U87"/>
    <mergeCell ref="A1:U1"/>
    <mergeCell ref="A2:U2"/>
    <mergeCell ref="A3:U3"/>
    <mergeCell ref="A11:S11"/>
    <mergeCell ref="A27:S27"/>
    <mergeCell ref="T27:U27"/>
    <mergeCell ref="A77:S77"/>
    <mergeCell ref="T77:U77"/>
    <mergeCell ref="B84:U84"/>
    <mergeCell ref="B9:B10"/>
    <mergeCell ref="C9:C10"/>
    <mergeCell ref="E82:P82"/>
    <mergeCell ref="A61:A62"/>
    <mergeCell ref="A63:A76"/>
    <mergeCell ref="B34:B47"/>
    <mergeCell ref="A86:S86"/>
    <mergeCell ref="T86:U86"/>
    <mergeCell ref="A82:A83"/>
    <mergeCell ref="B82:B83"/>
    <mergeCell ref="D82:D83"/>
    <mergeCell ref="A79:B79"/>
    <mergeCell ref="C79:U79"/>
    <mergeCell ref="A80:B80"/>
    <mergeCell ref="C80:Q80"/>
    <mergeCell ref="A81:B81"/>
    <mergeCell ref="C81:R81"/>
    <mergeCell ref="R82:R83"/>
    <mergeCell ref="S82:U82"/>
    <mergeCell ref="Q82:Q83"/>
    <mergeCell ref="C34:C47"/>
    <mergeCell ref="C12:U12"/>
    <mergeCell ref="A13:B13"/>
    <mergeCell ref="C13:U13"/>
    <mergeCell ref="A14:A15"/>
    <mergeCell ref="B14:B15"/>
    <mergeCell ref="C14:C15"/>
    <mergeCell ref="A28:B28"/>
    <mergeCell ref="C28:U28"/>
    <mergeCell ref="A8:A10"/>
    <mergeCell ref="D14:D15"/>
    <mergeCell ref="E14:P14"/>
    <mergeCell ref="Q14:Q15"/>
    <mergeCell ref="R14:R15"/>
    <mergeCell ref="S14:U14"/>
    <mergeCell ref="B20:B23"/>
    <mergeCell ref="C17:C23"/>
    <mergeCell ref="B25:B26"/>
    <mergeCell ref="B24:U24"/>
    <mergeCell ref="A24:A26"/>
    <mergeCell ref="C25:C26"/>
    <mergeCell ref="B16:U16"/>
    <mergeCell ref="A12:B12"/>
    <mergeCell ref="A4:B4"/>
    <mergeCell ref="C4:U4"/>
    <mergeCell ref="B18:B19"/>
    <mergeCell ref="A16:A23"/>
    <mergeCell ref="B8:U8"/>
    <mergeCell ref="A5:B5"/>
    <mergeCell ref="C5:U5"/>
    <mergeCell ref="A6:A7"/>
    <mergeCell ref="B6:B7"/>
    <mergeCell ref="C6:C7"/>
    <mergeCell ref="D6:D7"/>
    <mergeCell ref="E6:P6"/>
    <mergeCell ref="R6:R7"/>
    <mergeCell ref="S6:U6"/>
    <mergeCell ref="Q6:Q7"/>
    <mergeCell ref="T11:U11"/>
    <mergeCell ref="A30:B30"/>
    <mergeCell ref="C30:R30"/>
    <mergeCell ref="S31:U31"/>
    <mergeCell ref="B33:U33"/>
    <mergeCell ref="A31:A32"/>
    <mergeCell ref="B31:B32"/>
    <mergeCell ref="C31:C32"/>
    <mergeCell ref="D31:D32"/>
    <mergeCell ref="E31:P31"/>
    <mergeCell ref="Q31:Q32"/>
    <mergeCell ref="R31:R32"/>
    <mergeCell ref="A29:B29"/>
    <mergeCell ref="C29:Q29"/>
    <mergeCell ref="A84:A85"/>
    <mergeCell ref="B49:B55"/>
    <mergeCell ref="A48:A55"/>
    <mergeCell ref="A56:A60"/>
    <mergeCell ref="B65:B76"/>
    <mergeCell ref="B63:U63"/>
    <mergeCell ref="C65:C76"/>
    <mergeCell ref="B61:U61"/>
    <mergeCell ref="B56:U56"/>
    <mergeCell ref="B57:B60"/>
    <mergeCell ref="C57:C60"/>
    <mergeCell ref="C49:C55"/>
    <mergeCell ref="B48:U48"/>
    <mergeCell ref="C82:C8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80" fitToHeight="0" orientation="landscape" horizontalDpi="4294967293" r:id="rId1"/>
  <headerFooter alignWithMargins="0"/>
  <rowBreaks count="3" manualBreakCount="3">
    <brk id="23" max="16383" man="1"/>
    <brk id="47" max="16383" man="1"/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V17"/>
  <sheetViews>
    <sheetView topLeftCell="A12" zoomScale="80" zoomScaleNormal="80" workbookViewId="0">
      <selection activeCell="T17" sqref="T17:U17"/>
    </sheetView>
  </sheetViews>
  <sheetFormatPr baseColWidth="10" defaultRowHeight="14.25" x14ac:dyDescent="0.2"/>
  <cols>
    <col min="1" max="1" width="5.28515625" style="25" customWidth="1"/>
    <col min="2" max="2" width="32.28515625" style="25" customWidth="1"/>
    <col min="3" max="3" width="18.7109375" style="25" customWidth="1"/>
    <col min="4" max="4" width="31.7109375" style="25" customWidth="1"/>
    <col min="5" max="5" width="2.85546875" style="25" customWidth="1"/>
    <col min="6" max="6" width="2.7109375" style="25" customWidth="1"/>
    <col min="7" max="7" width="3.140625" style="25" customWidth="1"/>
    <col min="8" max="8" width="3.7109375" style="25" customWidth="1"/>
    <col min="9" max="10" width="3.140625" style="25" customWidth="1"/>
    <col min="11" max="11" width="3.5703125" style="25" customWidth="1"/>
    <col min="12" max="13" width="3.140625" style="25" customWidth="1"/>
    <col min="14" max="14" width="2.85546875" style="25" customWidth="1"/>
    <col min="15" max="15" width="2.7109375" style="25" customWidth="1"/>
    <col min="16" max="16" width="2.85546875" style="25" customWidth="1"/>
    <col min="17" max="17" width="17.5703125" style="25" customWidth="1"/>
    <col min="18" max="18" width="19.140625" style="25" customWidth="1"/>
    <col min="19" max="19" width="13.28515625" style="25" customWidth="1"/>
    <col min="20" max="20" width="13.5703125" style="25" customWidth="1"/>
    <col min="21" max="21" width="13.28515625" style="25" customWidth="1"/>
    <col min="22" max="256" width="11.42578125" style="25"/>
    <col min="257" max="257" width="5.28515625" style="25" customWidth="1"/>
    <col min="258" max="258" width="16.28515625" style="25" customWidth="1"/>
    <col min="259" max="259" width="12.5703125" style="25" customWidth="1"/>
    <col min="260" max="260" width="30" style="25" customWidth="1"/>
    <col min="261" max="272" width="2" style="25" customWidth="1"/>
    <col min="273" max="273" width="17.5703125" style="25" customWidth="1"/>
    <col min="274" max="274" width="19.140625" style="25" customWidth="1"/>
    <col min="275" max="275" width="8.5703125" style="25" customWidth="1"/>
    <col min="276" max="276" width="11.42578125" style="25"/>
    <col min="277" max="277" width="13.28515625" style="25" customWidth="1"/>
    <col min="278" max="512" width="11.42578125" style="25"/>
    <col min="513" max="513" width="5.28515625" style="25" customWidth="1"/>
    <col min="514" max="514" width="16.28515625" style="25" customWidth="1"/>
    <col min="515" max="515" width="12.5703125" style="25" customWidth="1"/>
    <col min="516" max="516" width="30" style="25" customWidth="1"/>
    <col min="517" max="528" width="2" style="25" customWidth="1"/>
    <col min="529" max="529" width="17.5703125" style="25" customWidth="1"/>
    <col min="530" max="530" width="19.140625" style="25" customWidth="1"/>
    <col min="531" max="531" width="8.5703125" style="25" customWidth="1"/>
    <col min="532" max="532" width="11.42578125" style="25"/>
    <col min="533" max="533" width="13.28515625" style="25" customWidth="1"/>
    <col min="534" max="768" width="11.42578125" style="25"/>
    <col min="769" max="769" width="5.28515625" style="25" customWidth="1"/>
    <col min="770" max="770" width="16.28515625" style="25" customWidth="1"/>
    <col min="771" max="771" width="12.5703125" style="25" customWidth="1"/>
    <col min="772" max="772" width="30" style="25" customWidth="1"/>
    <col min="773" max="784" width="2" style="25" customWidth="1"/>
    <col min="785" max="785" width="17.5703125" style="25" customWidth="1"/>
    <col min="786" max="786" width="19.140625" style="25" customWidth="1"/>
    <col min="787" max="787" width="8.5703125" style="25" customWidth="1"/>
    <col min="788" max="788" width="11.42578125" style="25"/>
    <col min="789" max="789" width="13.28515625" style="25" customWidth="1"/>
    <col min="790" max="1024" width="11.42578125" style="25"/>
    <col min="1025" max="1025" width="5.28515625" style="25" customWidth="1"/>
    <col min="1026" max="1026" width="16.28515625" style="25" customWidth="1"/>
    <col min="1027" max="1027" width="12.5703125" style="25" customWidth="1"/>
    <col min="1028" max="1028" width="30" style="25" customWidth="1"/>
    <col min="1029" max="1040" width="2" style="25" customWidth="1"/>
    <col min="1041" max="1041" width="17.5703125" style="25" customWidth="1"/>
    <col min="1042" max="1042" width="19.140625" style="25" customWidth="1"/>
    <col min="1043" max="1043" width="8.5703125" style="25" customWidth="1"/>
    <col min="1044" max="1044" width="11.42578125" style="25"/>
    <col min="1045" max="1045" width="13.28515625" style="25" customWidth="1"/>
    <col min="1046" max="1280" width="11.42578125" style="25"/>
    <col min="1281" max="1281" width="5.28515625" style="25" customWidth="1"/>
    <col min="1282" max="1282" width="16.28515625" style="25" customWidth="1"/>
    <col min="1283" max="1283" width="12.5703125" style="25" customWidth="1"/>
    <col min="1284" max="1284" width="30" style="25" customWidth="1"/>
    <col min="1285" max="1296" width="2" style="25" customWidth="1"/>
    <col min="1297" max="1297" width="17.5703125" style="25" customWidth="1"/>
    <col min="1298" max="1298" width="19.140625" style="25" customWidth="1"/>
    <col min="1299" max="1299" width="8.5703125" style="25" customWidth="1"/>
    <col min="1300" max="1300" width="11.42578125" style="25"/>
    <col min="1301" max="1301" width="13.28515625" style="25" customWidth="1"/>
    <col min="1302" max="1536" width="11.42578125" style="25"/>
    <col min="1537" max="1537" width="5.28515625" style="25" customWidth="1"/>
    <col min="1538" max="1538" width="16.28515625" style="25" customWidth="1"/>
    <col min="1539" max="1539" width="12.5703125" style="25" customWidth="1"/>
    <col min="1540" max="1540" width="30" style="25" customWidth="1"/>
    <col min="1541" max="1552" width="2" style="25" customWidth="1"/>
    <col min="1553" max="1553" width="17.5703125" style="25" customWidth="1"/>
    <col min="1554" max="1554" width="19.140625" style="25" customWidth="1"/>
    <col min="1555" max="1555" width="8.5703125" style="25" customWidth="1"/>
    <col min="1556" max="1556" width="11.42578125" style="25"/>
    <col min="1557" max="1557" width="13.28515625" style="25" customWidth="1"/>
    <col min="1558" max="1792" width="11.42578125" style="25"/>
    <col min="1793" max="1793" width="5.28515625" style="25" customWidth="1"/>
    <col min="1794" max="1794" width="16.28515625" style="25" customWidth="1"/>
    <col min="1795" max="1795" width="12.5703125" style="25" customWidth="1"/>
    <col min="1796" max="1796" width="30" style="25" customWidth="1"/>
    <col min="1797" max="1808" width="2" style="25" customWidth="1"/>
    <col min="1809" max="1809" width="17.5703125" style="25" customWidth="1"/>
    <col min="1810" max="1810" width="19.140625" style="25" customWidth="1"/>
    <col min="1811" max="1811" width="8.5703125" style="25" customWidth="1"/>
    <col min="1812" max="1812" width="11.42578125" style="25"/>
    <col min="1813" max="1813" width="13.28515625" style="25" customWidth="1"/>
    <col min="1814" max="2048" width="11.42578125" style="25"/>
    <col min="2049" max="2049" width="5.28515625" style="25" customWidth="1"/>
    <col min="2050" max="2050" width="16.28515625" style="25" customWidth="1"/>
    <col min="2051" max="2051" width="12.5703125" style="25" customWidth="1"/>
    <col min="2052" max="2052" width="30" style="25" customWidth="1"/>
    <col min="2053" max="2064" width="2" style="25" customWidth="1"/>
    <col min="2065" max="2065" width="17.5703125" style="25" customWidth="1"/>
    <col min="2066" max="2066" width="19.140625" style="25" customWidth="1"/>
    <col min="2067" max="2067" width="8.5703125" style="25" customWidth="1"/>
    <col min="2068" max="2068" width="11.42578125" style="25"/>
    <col min="2069" max="2069" width="13.28515625" style="25" customWidth="1"/>
    <col min="2070" max="2304" width="11.42578125" style="25"/>
    <col min="2305" max="2305" width="5.28515625" style="25" customWidth="1"/>
    <col min="2306" max="2306" width="16.28515625" style="25" customWidth="1"/>
    <col min="2307" max="2307" width="12.5703125" style="25" customWidth="1"/>
    <col min="2308" max="2308" width="30" style="25" customWidth="1"/>
    <col min="2309" max="2320" width="2" style="25" customWidth="1"/>
    <col min="2321" max="2321" width="17.5703125" style="25" customWidth="1"/>
    <col min="2322" max="2322" width="19.140625" style="25" customWidth="1"/>
    <col min="2323" max="2323" width="8.5703125" style="25" customWidth="1"/>
    <col min="2324" max="2324" width="11.42578125" style="25"/>
    <col min="2325" max="2325" width="13.28515625" style="25" customWidth="1"/>
    <col min="2326" max="2560" width="11.42578125" style="25"/>
    <col min="2561" max="2561" width="5.28515625" style="25" customWidth="1"/>
    <col min="2562" max="2562" width="16.28515625" style="25" customWidth="1"/>
    <col min="2563" max="2563" width="12.5703125" style="25" customWidth="1"/>
    <col min="2564" max="2564" width="30" style="25" customWidth="1"/>
    <col min="2565" max="2576" width="2" style="25" customWidth="1"/>
    <col min="2577" max="2577" width="17.5703125" style="25" customWidth="1"/>
    <col min="2578" max="2578" width="19.140625" style="25" customWidth="1"/>
    <col min="2579" max="2579" width="8.5703125" style="25" customWidth="1"/>
    <col min="2580" max="2580" width="11.42578125" style="25"/>
    <col min="2581" max="2581" width="13.28515625" style="25" customWidth="1"/>
    <col min="2582" max="2816" width="11.42578125" style="25"/>
    <col min="2817" max="2817" width="5.28515625" style="25" customWidth="1"/>
    <col min="2818" max="2818" width="16.28515625" style="25" customWidth="1"/>
    <col min="2819" max="2819" width="12.5703125" style="25" customWidth="1"/>
    <col min="2820" max="2820" width="30" style="25" customWidth="1"/>
    <col min="2821" max="2832" width="2" style="25" customWidth="1"/>
    <col min="2833" max="2833" width="17.5703125" style="25" customWidth="1"/>
    <col min="2834" max="2834" width="19.140625" style="25" customWidth="1"/>
    <col min="2835" max="2835" width="8.5703125" style="25" customWidth="1"/>
    <col min="2836" max="2836" width="11.42578125" style="25"/>
    <col min="2837" max="2837" width="13.28515625" style="25" customWidth="1"/>
    <col min="2838" max="3072" width="11.42578125" style="25"/>
    <col min="3073" max="3073" width="5.28515625" style="25" customWidth="1"/>
    <col min="3074" max="3074" width="16.28515625" style="25" customWidth="1"/>
    <col min="3075" max="3075" width="12.5703125" style="25" customWidth="1"/>
    <col min="3076" max="3076" width="30" style="25" customWidth="1"/>
    <col min="3077" max="3088" width="2" style="25" customWidth="1"/>
    <col min="3089" max="3089" width="17.5703125" style="25" customWidth="1"/>
    <col min="3090" max="3090" width="19.140625" style="25" customWidth="1"/>
    <col min="3091" max="3091" width="8.5703125" style="25" customWidth="1"/>
    <col min="3092" max="3092" width="11.42578125" style="25"/>
    <col min="3093" max="3093" width="13.28515625" style="25" customWidth="1"/>
    <col min="3094" max="3328" width="11.42578125" style="25"/>
    <col min="3329" max="3329" width="5.28515625" style="25" customWidth="1"/>
    <col min="3330" max="3330" width="16.28515625" style="25" customWidth="1"/>
    <col min="3331" max="3331" width="12.5703125" style="25" customWidth="1"/>
    <col min="3332" max="3332" width="30" style="25" customWidth="1"/>
    <col min="3333" max="3344" width="2" style="25" customWidth="1"/>
    <col min="3345" max="3345" width="17.5703125" style="25" customWidth="1"/>
    <col min="3346" max="3346" width="19.140625" style="25" customWidth="1"/>
    <col min="3347" max="3347" width="8.5703125" style="25" customWidth="1"/>
    <col min="3348" max="3348" width="11.42578125" style="25"/>
    <col min="3349" max="3349" width="13.28515625" style="25" customWidth="1"/>
    <col min="3350" max="3584" width="11.42578125" style="25"/>
    <col min="3585" max="3585" width="5.28515625" style="25" customWidth="1"/>
    <col min="3586" max="3586" width="16.28515625" style="25" customWidth="1"/>
    <col min="3587" max="3587" width="12.5703125" style="25" customWidth="1"/>
    <col min="3588" max="3588" width="30" style="25" customWidth="1"/>
    <col min="3589" max="3600" width="2" style="25" customWidth="1"/>
    <col min="3601" max="3601" width="17.5703125" style="25" customWidth="1"/>
    <col min="3602" max="3602" width="19.140625" style="25" customWidth="1"/>
    <col min="3603" max="3603" width="8.5703125" style="25" customWidth="1"/>
    <col min="3604" max="3604" width="11.42578125" style="25"/>
    <col min="3605" max="3605" width="13.28515625" style="25" customWidth="1"/>
    <col min="3606" max="3840" width="11.42578125" style="25"/>
    <col min="3841" max="3841" width="5.28515625" style="25" customWidth="1"/>
    <col min="3842" max="3842" width="16.28515625" style="25" customWidth="1"/>
    <col min="3843" max="3843" width="12.5703125" style="25" customWidth="1"/>
    <col min="3844" max="3844" width="30" style="25" customWidth="1"/>
    <col min="3845" max="3856" width="2" style="25" customWidth="1"/>
    <col min="3857" max="3857" width="17.5703125" style="25" customWidth="1"/>
    <col min="3858" max="3858" width="19.140625" style="25" customWidth="1"/>
    <col min="3859" max="3859" width="8.5703125" style="25" customWidth="1"/>
    <col min="3860" max="3860" width="11.42578125" style="25"/>
    <col min="3861" max="3861" width="13.28515625" style="25" customWidth="1"/>
    <col min="3862" max="4096" width="11.42578125" style="25"/>
    <col min="4097" max="4097" width="5.28515625" style="25" customWidth="1"/>
    <col min="4098" max="4098" width="16.28515625" style="25" customWidth="1"/>
    <col min="4099" max="4099" width="12.5703125" style="25" customWidth="1"/>
    <col min="4100" max="4100" width="30" style="25" customWidth="1"/>
    <col min="4101" max="4112" width="2" style="25" customWidth="1"/>
    <col min="4113" max="4113" width="17.5703125" style="25" customWidth="1"/>
    <col min="4114" max="4114" width="19.140625" style="25" customWidth="1"/>
    <col min="4115" max="4115" width="8.5703125" style="25" customWidth="1"/>
    <col min="4116" max="4116" width="11.42578125" style="25"/>
    <col min="4117" max="4117" width="13.28515625" style="25" customWidth="1"/>
    <col min="4118" max="4352" width="11.42578125" style="25"/>
    <col min="4353" max="4353" width="5.28515625" style="25" customWidth="1"/>
    <col min="4354" max="4354" width="16.28515625" style="25" customWidth="1"/>
    <col min="4355" max="4355" width="12.5703125" style="25" customWidth="1"/>
    <col min="4356" max="4356" width="30" style="25" customWidth="1"/>
    <col min="4357" max="4368" width="2" style="25" customWidth="1"/>
    <col min="4369" max="4369" width="17.5703125" style="25" customWidth="1"/>
    <col min="4370" max="4370" width="19.140625" style="25" customWidth="1"/>
    <col min="4371" max="4371" width="8.5703125" style="25" customWidth="1"/>
    <col min="4372" max="4372" width="11.42578125" style="25"/>
    <col min="4373" max="4373" width="13.28515625" style="25" customWidth="1"/>
    <col min="4374" max="4608" width="11.42578125" style="25"/>
    <col min="4609" max="4609" width="5.28515625" style="25" customWidth="1"/>
    <col min="4610" max="4610" width="16.28515625" style="25" customWidth="1"/>
    <col min="4611" max="4611" width="12.5703125" style="25" customWidth="1"/>
    <col min="4612" max="4612" width="30" style="25" customWidth="1"/>
    <col min="4613" max="4624" width="2" style="25" customWidth="1"/>
    <col min="4625" max="4625" width="17.5703125" style="25" customWidth="1"/>
    <col min="4626" max="4626" width="19.140625" style="25" customWidth="1"/>
    <col min="4627" max="4627" width="8.5703125" style="25" customWidth="1"/>
    <col min="4628" max="4628" width="11.42578125" style="25"/>
    <col min="4629" max="4629" width="13.28515625" style="25" customWidth="1"/>
    <col min="4630" max="4864" width="11.42578125" style="25"/>
    <col min="4865" max="4865" width="5.28515625" style="25" customWidth="1"/>
    <col min="4866" max="4866" width="16.28515625" style="25" customWidth="1"/>
    <col min="4867" max="4867" width="12.5703125" style="25" customWidth="1"/>
    <col min="4868" max="4868" width="30" style="25" customWidth="1"/>
    <col min="4869" max="4880" width="2" style="25" customWidth="1"/>
    <col min="4881" max="4881" width="17.5703125" style="25" customWidth="1"/>
    <col min="4882" max="4882" width="19.140625" style="25" customWidth="1"/>
    <col min="4883" max="4883" width="8.5703125" style="25" customWidth="1"/>
    <col min="4884" max="4884" width="11.42578125" style="25"/>
    <col min="4885" max="4885" width="13.28515625" style="25" customWidth="1"/>
    <col min="4886" max="5120" width="11.42578125" style="25"/>
    <col min="5121" max="5121" width="5.28515625" style="25" customWidth="1"/>
    <col min="5122" max="5122" width="16.28515625" style="25" customWidth="1"/>
    <col min="5123" max="5123" width="12.5703125" style="25" customWidth="1"/>
    <col min="5124" max="5124" width="30" style="25" customWidth="1"/>
    <col min="5125" max="5136" width="2" style="25" customWidth="1"/>
    <col min="5137" max="5137" width="17.5703125" style="25" customWidth="1"/>
    <col min="5138" max="5138" width="19.140625" style="25" customWidth="1"/>
    <col min="5139" max="5139" width="8.5703125" style="25" customWidth="1"/>
    <col min="5140" max="5140" width="11.42578125" style="25"/>
    <col min="5141" max="5141" width="13.28515625" style="25" customWidth="1"/>
    <col min="5142" max="5376" width="11.42578125" style="25"/>
    <col min="5377" max="5377" width="5.28515625" style="25" customWidth="1"/>
    <col min="5378" max="5378" width="16.28515625" style="25" customWidth="1"/>
    <col min="5379" max="5379" width="12.5703125" style="25" customWidth="1"/>
    <col min="5380" max="5380" width="30" style="25" customWidth="1"/>
    <col min="5381" max="5392" width="2" style="25" customWidth="1"/>
    <col min="5393" max="5393" width="17.5703125" style="25" customWidth="1"/>
    <col min="5394" max="5394" width="19.140625" style="25" customWidth="1"/>
    <col min="5395" max="5395" width="8.5703125" style="25" customWidth="1"/>
    <col min="5396" max="5396" width="11.42578125" style="25"/>
    <col min="5397" max="5397" width="13.28515625" style="25" customWidth="1"/>
    <col min="5398" max="5632" width="11.42578125" style="25"/>
    <col min="5633" max="5633" width="5.28515625" style="25" customWidth="1"/>
    <col min="5634" max="5634" width="16.28515625" style="25" customWidth="1"/>
    <col min="5635" max="5635" width="12.5703125" style="25" customWidth="1"/>
    <col min="5636" max="5636" width="30" style="25" customWidth="1"/>
    <col min="5637" max="5648" width="2" style="25" customWidth="1"/>
    <col min="5649" max="5649" width="17.5703125" style="25" customWidth="1"/>
    <col min="5650" max="5650" width="19.140625" style="25" customWidth="1"/>
    <col min="5651" max="5651" width="8.5703125" style="25" customWidth="1"/>
    <col min="5652" max="5652" width="11.42578125" style="25"/>
    <col min="5653" max="5653" width="13.28515625" style="25" customWidth="1"/>
    <col min="5654" max="5888" width="11.42578125" style="25"/>
    <col min="5889" max="5889" width="5.28515625" style="25" customWidth="1"/>
    <col min="5890" max="5890" width="16.28515625" style="25" customWidth="1"/>
    <col min="5891" max="5891" width="12.5703125" style="25" customWidth="1"/>
    <col min="5892" max="5892" width="30" style="25" customWidth="1"/>
    <col min="5893" max="5904" width="2" style="25" customWidth="1"/>
    <col min="5905" max="5905" width="17.5703125" style="25" customWidth="1"/>
    <col min="5906" max="5906" width="19.140625" style="25" customWidth="1"/>
    <col min="5907" max="5907" width="8.5703125" style="25" customWidth="1"/>
    <col min="5908" max="5908" width="11.42578125" style="25"/>
    <col min="5909" max="5909" width="13.28515625" style="25" customWidth="1"/>
    <col min="5910" max="6144" width="11.42578125" style="25"/>
    <col min="6145" max="6145" width="5.28515625" style="25" customWidth="1"/>
    <col min="6146" max="6146" width="16.28515625" style="25" customWidth="1"/>
    <col min="6147" max="6147" width="12.5703125" style="25" customWidth="1"/>
    <col min="6148" max="6148" width="30" style="25" customWidth="1"/>
    <col min="6149" max="6160" width="2" style="25" customWidth="1"/>
    <col min="6161" max="6161" width="17.5703125" style="25" customWidth="1"/>
    <col min="6162" max="6162" width="19.140625" style="25" customWidth="1"/>
    <col min="6163" max="6163" width="8.5703125" style="25" customWidth="1"/>
    <col min="6164" max="6164" width="11.42578125" style="25"/>
    <col min="6165" max="6165" width="13.28515625" style="25" customWidth="1"/>
    <col min="6166" max="6400" width="11.42578125" style="25"/>
    <col min="6401" max="6401" width="5.28515625" style="25" customWidth="1"/>
    <col min="6402" max="6402" width="16.28515625" style="25" customWidth="1"/>
    <col min="6403" max="6403" width="12.5703125" style="25" customWidth="1"/>
    <col min="6404" max="6404" width="30" style="25" customWidth="1"/>
    <col min="6405" max="6416" width="2" style="25" customWidth="1"/>
    <col min="6417" max="6417" width="17.5703125" style="25" customWidth="1"/>
    <col min="6418" max="6418" width="19.140625" style="25" customWidth="1"/>
    <col min="6419" max="6419" width="8.5703125" style="25" customWidth="1"/>
    <col min="6420" max="6420" width="11.42578125" style="25"/>
    <col min="6421" max="6421" width="13.28515625" style="25" customWidth="1"/>
    <col min="6422" max="6656" width="11.42578125" style="25"/>
    <col min="6657" max="6657" width="5.28515625" style="25" customWidth="1"/>
    <col min="6658" max="6658" width="16.28515625" style="25" customWidth="1"/>
    <col min="6659" max="6659" width="12.5703125" style="25" customWidth="1"/>
    <col min="6660" max="6660" width="30" style="25" customWidth="1"/>
    <col min="6661" max="6672" width="2" style="25" customWidth="1"/>
    <col min="6673" max="6673" width="17.5703125" style="25" customWidth="1"/>
    <col min="6674" max="6674" width="19.140625" style="25" customWidth="1"/>
    <col min="6675" max="6675" width="8.5703125" style="25" customWidth="1"/>
    <col min="6676" max="6676" width="11.42578125" style="25"/>
    <col min="6677" max="6677" width="13.28515625" style="25" customWidth="1"/>
    <col min="6678" max="6912" width="11.42578125" style="25"/>
    <col min="6913" max="6913" width="5.28515625" style="25" customWidth="1"/>
    <col min="6914" max="6914" width="16.28515625" style="25" customWidth="1"/>
    <col min="6915" max="6915" width="12.5703125" style="25" customWidth="1"/>
    <col min="6916" max="6916" width="30" style="25" customWidth="1"/>
    <col min="6917" max="6928" width="2" style="25" customWidth="1"/>
    <col min="6929" max="6929" width="17.5703125" style="25" customWidth="1"/>
    <col min="6930" max="6930" width="19.140625" style="25" customWidth="1"/>
    <col min="6931" max="6931" width="8.5703125" style="25" customWidth="1"/>
    <col min="6932" max="6932" width="11.42578125" style="25"/>
    <col min="6933" max="6933" width="13.28515625" style="25" customWidth="1"/>
    <col min="6934" max="7168" width="11.42578125" style="25"/>
    <col min="7169" max="7169" width="5.28515625" style="25" customWidth="1"/>
    <col min="7170" max="7170" width="16.28515625" style="25" customWidth="1"/>
    <col min="7171" max="7171" width="12.5703125" style="25" customWidth="1"/>
    <col min="7172" max="7172" width="30" style="25" customWidth="1"/>
    <col min="7173" max="7184" width="2" style="25" customWidth="1"/>
    <col min="7185" max="7185" width="17.5703125" style="25" customWidth="1"/>
    <col min="7186" max="7186" width="19.140625" style="25" customWidth="1"/>
    <col min="7187" max="7187" width="8.5703125" style="25" customWidth="1"/>
    <col min="7188" max="7188" width="11.42578125" style="25"/>
    <col min="7189" max="7189" width="13.28515625" style="25" customWidth="1"/>
    <col min="7190" max="7424" width="11.42578125" style="25"/>
    <col min="7425" max="7425" width="5.28515625" style="25" customWidth="1"/>
    <col min="7426" max="7426" width="16.28515625" style="25" customWidth="1"/>
    <col min="7427" max="7427" width="12.5703125" style="25" customWidth="1"/>
    <col min="7428" max="7428" width="30" style="25" customWidth="1"/>
    <col min="7429" max="7440" width="2" style="25" customWidth="1"/>
    <col min="7441" max="7441" width="17.5703125" style="25" customWidth="1"/>
    <col min="7442" max="7442" width="19.140625" style="25" customWidth="1"/>
    <col min="7443" max="7443" width="8.5703125" style="25" customWidth="1"/>
    <col min="7444" max="7444" width="11.42578125" style="25"/>
    <col min="7445" max="7445" width="13.28515625" style="25" customWidth="1"/>
    <col min="7446" max="7680" width="11.42578125" style="25"/>
    <col min="7681" max="7681" width="5.28515625" style="25" customWidth="1"/>
    <col min="7682" max="7682" width="16.28515625" style="25" customWidth="1"/>
    <col min="7683" max="7683" width="12.5703125" style="25" customWidth="1"/>
    <col min="7684" max="7684" width="30" style="25" customWidth="1"/>
    <col min="7685" max="7696" width="2" style="25" customWidth="1"/>
    <col min="7697" max="7697" width="17.5703125" style="25" customWidth="1"/>
    <col min="7698" max="7698" width="19.140625" style="25" customWidth="1"/>
    <col min="7699" max="7699" width="8.5703125" style="25" customWidth="1"/>
    <col min="7700" max="7700" width="11.42578125" style="25"/>
    <col min="7701" max="7701" width="13.28515625" style="25" customWidth="1"/>
    <col min="7702" max="7936" width="11.42578125" style="25"/>
    <col min="7937" max="7937" width="5.28515625" style="25" customWidth="1"/>
    <col min="7938" max="7938" width="16.28515625" style="25" customWidth="1"/>
    <col min="7939" max="7939" width="12.5703125" style="25" customWidth="1"/>
    <col min="7940" max="7940" width="30" style="25" customWidth="1"/>
    <col min="7941" max="7952" width="2" style="25" customWidth="1"/>
    <col min="7953" max="7953" width="17.5703125" style="25" customWidth="1"/>
    <col min="7954" max="7954" width="19.140625" style="25" customWidth="1"/>
    <col min="7955" max="7955" width="8.5703125" style="25" customWidth="1"/>
    <col min="7956" max="7956" width="11.42578125" style="25"/>
    <col min="7957" max="7957" width="13.28515625" style="25" customWidth="1"/>
    <col min="7958" max="8192" width="11.42578125" style="25"/>
    <col min="8193" max="8193" width="5.28515625" style="25" customWidth="1"/>
    <col min="8194" max="8194" width="16.28515625" style="25" customWidth="1"/>
    <col min="8195" max="8195" width="12.5703125" style="25" customWidth="1"/>
    <col min="8196" max="8196" width="30" style="25" customWidth="1"/>
    <col min="8197" max="8208" width="2" style="25" customWidth="1"/>
    <col min="8209" max="8209" width="17.5703125" style="25" customWidth="1"/>
    <col min="8210" max="8210" width="19.140625" style="25" customWidth="1"/>
    <col min="8211" max="8211" width="8.5703125" style="25" customWidth="1"/>
    <col min="8212" max="8212" width="11.42578125" style="25"/>
    <col min="8213" max="8213" width="13.28515625" style="25" customWidth="1"/>
    <col min="8214" max="8448" width="11.42578125" style="25"/>
    <col min="8449" max="8449" width="5.28515625" style="25" customWidth="1"/>
    <col min="8450" max="8450" width="16.28515625" style="25" customWidth="1"/>
    <col min="8451" max="8451" width="12.5703125" style="25" customWidth="1"/>
    <col min="8452" max="8452" width="30" style="25" customWidth="1"/>
    <col min="8453" max="8464" width="2" style="25" customWidth="1"/>
    <col min="8465" max="8465" width="17.5703125" style="25" customWidth="1"/>
    <col min="8466" max="8466" width="19.140625" style="25" customWidth="1"/>
    <col min="8467" max="8467" width="8.5703125" style="25" customWidth="1"/>
    <col min="8468" max="8468" width="11.42578125" style="25"/>
    <col min="8469" max="8469" width="13.28515625" style="25" customWidth="1"/>
    <col min="8470" max="8704" width="11.42578125" style="25"/>
    <col min="8705" max="8705" width="5.28515625" style="25" customWidth="1"/>
    <col min="8706" max="8706" width="16.28515625" style="25" customWidth="1"/>
    <col min="8707" max="8707" width="12.5703125" style="25" customWidth="1"/>
    <col min="8708" max="8708" width="30" style="25" customWidth="1"/>
    <col min="8709" max="8720" width="2" style="25" customWidth="1"/>
    <col min="8721" max="8721" width="17.5703125" style="25" customWidth="1"/>
    <col min="8722" max="8722" width="19.140625" style="25" customWidth="1"/>
    <col min="8723" max="8723" width="8.5703125" style="25" customWidth="1"/>
    <col min="8724" max="8724" width="11.42578125" style="25"/>
    <col min="8725" max="8725" width="13.28515625" style="25" customWidth="1"/>
    <col min="8726" max="8960" width="11.42578125" style="25"/>
    <col min="8961" max="8961" width="5.28515625" style="25" customWidth="1"/>
    <col min="8962" max="8962" width="16.28515625" style="25" customWidth="1"/>
    <col min="8963" max="8963" width="12.5703125" style="25" customWidth="1"/>
    <col min="8964" max="8964" width="30" style="25" customWidth="1"/>
    <col min="8965" max="8976" width="2" style="25" customWidth="1"/>
    <col min="8977" max="8977" width="17.5703125" style="25" customWidth="1"/>
    <col min="8978" max="8978" width="19.140625" style="25" customWidth="1"/>
    <col min="8979" max="8979" width="8.5703125" style="25" customWidth="1"/>
    <col min="8980" max="8980" width="11.42578125" style="25"/>
    <col min="8981" max="8981" width="13.28515625" style="25" customWidth="1"/>
    <col min="8982" max="9216" width="11.42578125" style="25"/>
    <col min="9217" max="9217" width="5.28515625" style="25" customWidth="1"/>
    <col min="9218" max="9218" width="16.28515625" style="25" customWidth="1"/>
    <col min="9219" max="9219" width="12.5703125" style="25" customWidth="1"/>
    <col min="9220" max="9220" width="30" style="25" customWidth="1"/>
    <col min="9221" max="9232" width="2" style="25" customWidth="1"/>
    <col min="9233" max="9233" width="17.5703125" style="25" customWidth="1"/>
    <col min="9234" max="9234" width="19.140625" style="25" customWidth="1"/>
    <col min="9235" max="9235" width="8.5703125" style="25" customWidth="1"/>
    <col min="9236" max="9236" width="11.42578125" style="25"/>
    <col min="9237" max="9237" width="13.28515625" style="25" customWidth="1"/>
    <col min="9238" max="9472" width="11.42578125" style="25"/>
    <col min="9473" max="9473" width="5.28515625" style="25" customWidth="1"/>
    <col min="9474" max="9474" width="16.28515625" style="25" customWidth="1"/>
    <col min="9475" max="9475" width="12.5703125" style="25" customWidth="1"/>
    <col min="9476" max="9476" width="30" style="25" customWidth="1"/>
    <col min="9477" max="9488" width="2" style="25" customWidth="1"/>
    <col min="9489" max="9489" width="17.5703125" style="25" customWidth="1"/>
    <col min="9490" max="9490" width="19.140625" style="25" customWidth="1"/>
    <col min="9491" max="9491" width="8.5703125" style="25" customWidth="1"/>
    <col min="9492" max="9492" width="11.42578125" style="25"/>
    <col min="9493" max="9493" width="13.28515625" style="25" customWidth="1"/>
    <col min="9494" max="9728" width="11.42578125" style="25"/>
    <col min="9729" max="9729" width="5.28515625" style="25" customWidth="1"/>
    <col min="9730" max="9730" width="16.28515625" style="25" customWidth="1"/>
    <col min="9731" max="9731" width="12.5703125" style="25" customWidth="1"/>
    <col min="9732" max="9732" width="30" style="25" customWidth="1"/>
    <col min="9733" max="9744" width="2" style="25" customWidth="1"/>
    <col min="9745" max="9745" width="17.5703125" style="25" customWidth="1"/>
    <col min="9746" max="9746" width="19.140625" style="25" customWidth="1"/>
    <col min="9747" max="9747" width="8.5703125" style="25" customWidth="1"/>
    <col min="9748" max="9748" width="11.42578125" style="25"/>
    <col min="9749" max="9749" width="13.28515625" style="25" customWidth="1"/>
    <col min="9750" max="9984" width="11.42578125" style="25"/>
    <col min="9985" max="9985" width="5.28515625" style="25" customWidth="1"/>
    <col min="9986" max="9986" width="16.28515625" style="25" customWidth="1"/>
    <col min="9987" max="9987" width="12.5703125" style="25" customWidth="1"/>
    <col min="9988" max="9988" width="30" style="25" customWidth="1"/>
    <col min="9989" max="10000" width="2" style="25" customWidth="1"/>
    <col min="10001" max="10001" width="17.5703125" style="25" customWidth="1"/>
    <col min="10002" max="10002" width="19.140625" style="25" customWidth="1"/>
    <col min="10003" max="10003" width="8.5703125" style="25" customWidth="1"/>
    <col min="10004" max="10004" width="11.42578125" style="25"/>
    <col min="10005" max="10005" width="13.28515625" style="25" customWidth="1"/>
    <col min="10006" max="10240" width="11.42578125" style="25"/>
    <col min="10241" max="10241" width="5.28515625" style="25" customWidth="1"/>
    <col min="10242" max="10242" width="16.28515625" style="25" customWidth="1"/>
    <col min="10243" max="10243" width="12.5703125" style="25" customWidth="1"/>
    <col min="10244" max="10244" width="30" style="25" customWidth="1"/>
    <col min="10245" max="10256" width="2" style="25" customWidth="1"/>
    <col min="10257" max="10257" width="17.5703125" style="25" customWidth="1"/>
    <col min="10258" max="10258" width="19.140625" style="25" customWidth="1"/>
    <col min="10259" max="10259" width="8.5703125" style="25" customWidth="1"/>
    <col min="10260" max="10260" width="11.42578125" style="25"/>
    <col min="10261" max="10261" width="13.28515625" style="25" customWidth="1"/>
    <col min="10262" max="10496" width="11.42578125" style="25"/>
    <col min="10497" max="10497" width="5.28515625" style="25" customWidth="1"/>
    <col min="10498" max="10498" width="16.28515625" style="25" customWidth="1"/>
    <col min="10499" max="10499" width="12.5703125" style="25" customWidth="1"/>
    <col min="10500" max="10500" width="30" style="25" customWidth="1"/>
    <col min="10501" max="10512" width="2" style="25" customWidth="1"/>
    <col min="10513" max="10513" width="17.5703125" style="25" customWidth="1"/>
    <col min="10514" max="10514" width="19.140625" style="25" customWidth="1"/>
    <col min="10515" max="10515" width="8.5703125" style="25" customWidth="1"/>
    <col min="10516" max="10516" width="11.42578125" style="25"/>
    <col min="10517" max="10517" width="13.28515625" style="25" customWidth="1"/>
    <col min="10518" max="10752" width="11.42578125" style="25"/>
    <col min="10753" max="10753" width="5.28515625" style="25" customWidth="1"/>
    <col min="10754" max="10754" width="16.28515625" style="25" customWidth="1"/>
    <col min="10755" max="10755" width="12.5703125" style="25" customWidth="1"/>
    <col min="10756" max="10756" width="30" style="25" customWidth="1"/>
    <col min="10757" max="10768" width="2" style="25" customWidth="1"/>
    <col min="10769" max="10769" width="17.5703125" style="25" customWidth="1"/>
    <col min="10770" max="10770" width="19.140625" style="25" customWidth="1"/>
    <col min="10771" max="10771" width="8.5703125" style="25" customWidth="1"/>
    <col min="10772" max="10772" width="11.42578125" style="25"/>
    <col min="10773" max="10773" width="13.28515625" style="25" customWidth="1"/>
    <col min="10774" max="11008" width="11.42578125" style="25"/>
    <col min="11009" max="11009" width="5.28515625" style="25" customWidth="1"/>
    <col min="11010" max="11010" width="16.28515625" style="25" customWidth="1"/>
    <col min="11011" max="11011" width="12.5703125" style="25" customWidth="1"/>
    <col min="11012" max="11012" width="30" style="25" customWidth="1"/>
    <col min="11013" max="11024" width="2" style="25" customWidth="1"/>
    <col min="11025" max="11025" width="17.5703125" style="25" customWidth="1"/>
    <col min="11026" max="11026" width="19.140625" style="25" customWidth="1"/>
    <col min="11027" max="11027" width="8.5703125" style="25" customWidth="1"/>
    <col min="11028" max="11028" width="11.42578125" style="25"/>
    <col min="11029" max="11029" width="13.28515625" style="25" customWidth="1"/>
    <col min="11030" max="11264" width="11.42578125" style="25"/>
    <col min="11265" max="11265" width="5.28515625" style="25" customWidth="1"/>
    <col min="11266" max="11266" width="16.28515625" style="25" customWidth="1"/>
    <col min="11267" max="11267" width="12.5703125" style="25" customWidth="1"/>
    <col min="11268" max="11268" width="30" style="25" customWidth="1"/>
    <col min="11269" max="11280" width="2" style="25" customWidth="1"/>
    <col min="11281" max="11281" width="17.5703125" style="25" customWidth="1"/>
    <col min="11282" max="11282" width="19.140625" style="25" customWidth="1"/>
    <col min="11283" max="11283" width="8.5703125" style="25" customWidth="1"/>
    <col min="11284" max="11284" width="11.42578125" style="25"/>
    <col min="11285" max="11285" width="13.28515625" style="25" customWidth="1"/>
    <col min="11286" max="11520" width="11.42578125" style="25"/>
    <col min="11521" max="11521" width="5.28515625" style="25" customWidth="1"/>
    <col min="11522" max="11522" width="16.28515625" style="25" customWidth="1"/>
    <col min="11523" max="11523" width="12.5703125" style="25" customWidth="1"/>
    <col min="11524" max="11524" width="30" style="25" customWidth="1"/>
    <col min="11525" max="11536" width="2" style="25" customWidth="1"/>
    <col min="11537" max="11537" width="17.5703125" style="25" customWidth="1"/>
    <col min="11538" max="11538" width="19.140625" style="25" customWidth="1"/>
    <col min="11539" max="11539" width="8.5703125" style="25" customWidth="1"/>
    <col min="11540" max="11540" width="11.42578125" style="25"/>
    <col min="11541" max="11541" width="13.28515625" style="25" customWidth="1"/>
    <col min="11542" max="11776" width="11.42578125" style="25"/>
    <col min="11777" max="11777" width="5.28515625" style="25" customWidth="1"/>
    <col min="11778" max="11778" width="16.28515625" style="25" customWidth="1"/>
    <col min="11779" max="11779" width="12.5703125" style="25" customWidth="1"/>
    <col min="11780" max="11780" width="30" style="25" customWidth="1"/>
    <col min="11781" max="11792" width="2" style="25" customWidth="1"/>
    <col min="11793" max="11793" width="17.5703125" style="25" customWidth="1"/>
    <col min="11794" max="11794" width="19.140625" style="25" customWidth="1"/>
    <col min="11795" max="11795" width="8.5703125" style="25" customWidth="1"/>
    <col min="11796" max="11796" width="11.42578125" style="25"/>
    <col min="11797" max="11797" width="13.28515625" style="25" customWidth="1"/>
    <col min="11798" max="12032" width="11.42578125" style="25"/>
    <col min="12033" max="12033" width="5.28515625" style="25" customWidth="1"/>
    <col min="12034" max="12034" width="16.28515625" style="25" customWidth="1"/>
    <col min="12035" max="12035" width="12.5703125" style="25" customWidth="1"/>
    <col min="12036" max="12036" width="30" style="25" customWidth="1"/>
    <col min="12037" max="12048" width="2" style="25" customWidth="1"/>
    <col min="12049" max="12049" width="17.5703125" style="25" customWidth="1"/>
    <col min="12050" max="12050" width="19.140625" style="25" customWidth="1"/>
    <col min="12051" max="12051" width="8.5703125" style="25" customWidth="1"/>
    <col min="12052" max="12052" width="11.42578125" style="25"/>
    <col min="12053" max="12053" width="13.28515625" style="25" customWidth="1"/>
    <col min="12054" max="12288" width="11.42578125" style="25"/>
    <col min="12289" max="12289" width="5.28515625" style="25" customWidth="1"/>
    <col min="12290" max="12290" width="16.28515625" style="25" customWidth="1"/>
    <col min="12291" max="12291" width="12.5703125" style="25" customWidth="1"/>
    <col min="12292" max="12292" width="30" style="25" customWidth="1"/>
    <col min="12293" max="12304" width="2" style="25" customWidth="1"/>
    <col min="12305" max="12305" width="17.5703125" style="25" customWidth="1"/>
    <col min="12306" max="12306" width="19.140625" style="25" customWidth="1"/>
    <col min="12307" max="12307" width="8.5703125" style="25" customWidth="1"/>
    <col min="12308" max="12308" width="11.42578125" style="25"/>
    <col min="12309" max="12309" width="13.28515625" style="25" customWidth="1"/>
    <col min="12310" max="12544" width="11.42578125" style="25"/>
    <col min="12545" max="12545" width="5.28515625" style="25" customWidth="1"/>
    <col min="12546" max="12546" width="16.28515625" style="25" customWidth="1"/>
    <col min="12547" max="12547" width="12.5703125" style="25" customWidth="1"/>
    <col min="12548" max="12548" width="30" style="25" customWidth="1"/>
    <col min="12549" max="12560" width="2" style="25" customWidth="1"/>
    <col min="12561" max="12561" width="17.5703125" style="25" customWidth="1"/>
    <col min="12562" max="12562" width="19.140625" style="25" customWidth="1"/>
    <col min="12563" max="12563" width="8.5703125" style="25" customWidth="1"/>
    <col min="12564" max="12564" width="11.42578125" style="25"/>
    <col min="12565" max="12565" width="13.28515625" style="25" customWidth="1"/>
    <col min="12566" max="12800" width="11.42578125" style="25"/>
    <col min="12801" max="12801" width="5.28515625" style="25" customWidth="1"/>
    <col min="12802" max="12802" width="16.28515625" style="25" customWidth="1"/>
    <col min="12803" max="12803" width="12.5703125" style="25" customWidth="1"/>
    <col min="12804" max="12804" width="30" style="25" customWidth="1"/>
    <col min="12805" max="12816" width="2" style="25" customWidth="1"/>
    <col min="12817" max="12817" width="17.5703125" style="25" customWidth="1"/>
    <col min="12818" max="12818" width="19.140625" style="25" customWidth="1"/>
    <col min="12819" max="12819" width="8.5703125" style="25" customWidth="1"/>
    <col min="12820" max="12820" width="11.42578125" style="25"/>
    <col min="12821" max="12821" width="13.28515625" style="25" customWidth="1"/>
    <col min="12822" max="13056" width="11.42578125" style="25"/>
    <col min="13057" max="13057" width="5.28515625" style="25" customWidth="1"/>
    <col min="13058" max="13058" width="16.28515625" style="25" customWidth="1"/>
    <col min="13059" max="13059" width="12.5703125" style="25" customWidth="1"/>
    <col min="13060" max="13060" width="30" style="25" customWidth="1"/>
    <col min="13061" max="13072" width="2" style="25" customWidth="1"/>
    <col min="13073" max="13073" width="17.5703125" style="25" customWidth="1"/>
    <col min="13074" max="13074" width="19.140625" style="25" customWidth="1"/>
    <col min="13075" max="13075" width="8.5703125" style="25" customWidth="1"/>
    <col min="13076" max="13076" width="11.42578125" style="25"/>
    <col min="13077" max="13077" width="13.28515625" style="25" customWidth="1"/>
    <col min="13078" max="13312" width="11.42578125" style="25"/>
    <col min="13313" max="13313" width="5.28515625" style="25" customWidth="1"/>
    <col min="13314" max="13314" width="16.28515625" style="25" customWidth="1"/>
    <col min="13315" max="13315" width="12.5703125" style="25" customWidth="1"/>
    <col min="13316" max="13316" width="30" style="25" customWidth="1"/>
    <col min="13317" max="13328" width="2" style="25" customWidth="1"/>
    <col min="13329" max="13329" width="17.5703125" style="25" customWidth="1"/>
    <col min="13330" max="13330" width="19.140625" style="25" customWidth="1"/>
    <col min="13331" max="13331" width="8.5703125" style="25" customWidth="1"/>
    <col min="13332" max="13332" width="11.42578125" style="25"/>
    <col min="13333" max="13333" width="13.28515625" style="25" customWidth="1"/>
    <col min="13334" max="13568" width="11.42578125" style="25"/>
    <col min="13569" max="13569" width="5.28515625" style="25" customWidth="1"/>
    <col min="13570" max="13570" width="16.28515625" style="25" customWidth="1"/>
    <col min="13571" max="13571" width="12.5703125" style="25" customWidth="1"/>
    <col min="13572" max="13572" width="30" style="25" customWidth="1"/>
    <col min="13573" max="13584" width="2" style="25" customWidth="1"/>
    <col min="13585" max="13585" width="17.5703125" style="25" customWidth="1"/>
    <col min="13586" max="13586" width="19.140625" style="25" customWidth="1"/>
    <col min="13587" max="13587" width="8.5703125" style="25" customWidth="1"/>
    <col min="13588" max="13588" width="11.42578125" style="25"/>
    <col min="13589" max="13589" width="13.28515625" style="25" customWidth="1"/>
    <col min="13590" max="13824" width="11.42578125" style="25"/>
    <col min="13825" max="13825" width="5.28515625" style="25" customWidth="1"/>
    <col min="13826" max="13826" width="16.28515625" style="25" customWidth="1"/>
    <col min="13827" max="13827" width="12.5703125" style="25" customWidth="1"/>
    <col min="13828" max="13828" width="30" style="25" customWidth="1"/>
    <col min="13829" max="13840" width="2" style="25" customWidth="1"/>
    <col min="13841" max="13841" width="17.5703125" style="25" customWidth="1"/>
    <col min="13842" max="13842" width="19.140625" style="25" customWidth="1"/>
    <col min="13843" max="13843" width="8.5703125" style="25" customWidth="1"/>
    <col min="13844" max="13844" width="11.42578125" style="25"/>
    <col min="13845" max="13845" width="13.28515625" style="25" customWidth="1"/>
    <col min="13846" max="14080" width="11.42578125" style="25"/>
    <col min="14081" max="14081" width="5.28515625" style="25" customWidth="1"/>
    <col min="14082" max="14082" width="16.28515625" style="25" customWidth="1"/>
    <col min="14083" max="14083" width="12.5703125" style="25" customWidth="1"/>
    <col min="14084" max="14084" width="30" style="25" customWidth="1"/>
    <col min="14085" max="14096" width="2" style="25" customWidth="1"/>
    <col min="14097" max="14097" width="17.5703125" style="25" customWidth="1"/>
    <col min="14098" max="14098" width="19.140625" style="25" customWidth="1"/>
    <col min="14099" max="14099" width="8.5703125" style="25" customWidth="1"/>
    <col min="14100" max="14100" width="11.42578125" style="25"/>
    <col min="14101" max="14101" width="13.28515625" style="25" customWidth="1"/>
    <col min="14102" max="14336" width="11.42578125" style="25"/>
    <col min="14337" max="14337" width="5.28515625" style="25" customWidth="1"/>
    <col min="14338" max="14338" width="16.28515625" style="25" customWidth="1"/>
    <col min="14339" max="14339" width="12.5703125" style="25" customWidth="1"/>
    <col min="14340" max="14340" width="30" style="25" customWidth="1"/>
    <col min="14341" max="14352" width="2" style="25" customWidth="1"/>
    <col min="14353" max="14353" width="17.5703125" style="25" customWidth="1"/>
    <col min="14354" max="14354" width="19.140625" style="25" customWidth="1"/>
    <col min="14355" max="14355" width="8.5703125" style="25" customWidth="1"/>
    <col min="14356" max="14356" width="11.42578125" style="25"/>
    <col min="14357" max="14357" width="13.28515625" style="25" customWidth="1"/>
    <col min="14358" max="14592" width="11.42578125" style="25"/>
    <col min="14593" max="14593" width="5.28515625" style="25" customWidth="1"/>
    <col min="14594" max="14594" width="16.28515625" style="25" customWidth="1"/>
    <col min="14595" max="14595" width="12.5703125" style="25" customWidth="1"/>
    <col min="14596" max="14596" width="30" style="25" customWidth="1"/>
    <col min="14597" max="14608" width="2" style="25" customWidth="1"/>
    <col min="14609" max="14609" width="17.5703125" style="25" customWidth="1"/>
    <col min="14610" max="14610" width="19.140625" style="25" customWidth="1"/>
    <col min="14611" max="14611" width="8.5703125" style="25" customWidth="1"/>
    <col min="14612" max="14612" width="11.42578125" style="25"/>
    <col min="14613" max="14613" width="13.28515625" style="25" customWidth="1"/>
    <col min="14614" max="14848" width="11.42578125" style="25"/>
    <col min="14849" max="14849" width="5.28515625" style="25" customWidth="1"/>
    <col min="14850" max="14850" width="16.28515625" style="25" customWidth="1"/>
    <col min="14851" max="14851" width="12.5703125" style="25" customWidth="1"/>
    <col min="14852" max="14852" width="30" style="25" customWidth="1"/>
    <col min="14853" max="14864" width="2" style="25" customWidth="1"/>
    <col min="14865" max="14865" width="17.5703125" style="25" customWidth="1"/>
    <col min="14866" max="14866" width="19.140625" style="25" customWidth="1"/>
    <col min="14867" max="14867" width="8.5703125" style="25" customWidth="1"/>
    <col min="14868" max="14868" width="11.42578125" style="25"/>
    <col min="14869" max="14869" width="13.28515625" style="25" customWidth="1"/>
    <col min="14870" max="15104" width="11.42578125" style="25"/>
    <col min="15105" max="15105" width="5.28515625" style="25" customWidth="1"/>
    <col min="15106" max="15106" width="16.28515625" style="25" customWidth="1"/>
    <col min="15107" max="15107" width="12.5703125" style="25" customWidth="1"/>
    <col min="15108" max="15108" width="30" style="25" customWidth="1"/>
    <col min="15109" max="15120" width="2" style="25" customWidth="1"/>
    <col min="15121" max="15121" width="17.5703125" style="25" customWidth="1"/>
    <col min="15122" max="15122" width="19.140625" style="25" customWidth="1"/>
    <col min="15123" max="15123" width="8.5703125" style="25" customWidth="1"/>
    <col min="15124" max="15124" width="11.42578125" style="25"/>
    <col min="15125" max="15125" width="13.28515625" style="25" customWidth="1"/>
    <col min="15126" max="15360" width="11.42578125" style="25"/>
    <col min="15361" max="15361" width="5.28515625" style="25" customWidth="1"/>
    <col min="15362" max="15362" width="16.28515625" style="25" customWidth="1"/>
    <col min="15363" max="15363" width="12.5703125" style="25" customWidth="1"/>
    <col min="15364" max="15364" width="30" style="25" customWidth="1"/>
    <col min="15365" max="15376" width="2" style="25" customWidth="1"/>
    <col min="15377" max="15377" width="17.5703125" style="25" customWidth="1"/>
    <col min="15378" max="15378" width="19.140625" style="25" customWidth="1"/>
    <col min="15379" max="15379" width="8.5703125" style="25" customWidth="1"/>
    <col min="15380" max="15380" width="11.42578125" style="25"/>
    <col min="15381" max="15381" width="13.28515625" style="25" customWidth="1"/>
    <col min="15382" max="15616" width="11.42578125" style="25"/>
    <col min="15617" max="15617" width="5.28515625" style="25" customWidth="1"/>
    <col min="15618" max="15618" width="16.28515625" style="25" customWidth="1"/>
    <col min="15619" max="15619" width="12.5703125" style="25" customWidth="1"/>
    <col min="15620" max="15620" width="30" style="25" customWidth="1"/>
    <col min="15621" max="15632" width="2" style="25" customWidth="1"/>
    <col min="15633" max="15633" width="17.5703125" style="25" customWidth="1"/>
    <col min="15634" max="15634" width="19.140625" style="25" customWidth="1"/>
    <col min="15635" max="15635" width="8.5703125" style="25" customWidth="1"/>
    <col min="15636" max="15636" width="11.42578125" style="25"/>
    <col min="15637" max="15637" width="13.28515625" style="25" customWidth="1"/>
    <col min="15638" max="15872" width="11.42578125" style="25"/>
    <col min="15873" max="15873" width="5.28515625" style="25" customWidth="1"/>
    <col min="15874" max="15874" width="16.28515625" style="25" customWidth="1"/>
    <col min="15875" max="15875" width="12.5703125" style="25" customWidth="1"/>
    <col min="15876" max="15876" width="30" style="25" customWidth="1"/>
    <col min="15877" max="15888" width="2" style="25" customWidth="1"/>
    <col min="15889" max="15889" width="17.5703125" style="25" customWidth="1"/>
    <col min="15890" max="15890" width="19.140625" style="25" customWidth="1"/>
    <col min="15891" max="15891" width="8.5703125" style="25" customWidth="1"/>
    <col min="15892" max="15892" width="11.42578125" style="25"/>
    <col min="15893" max="15893" width="13.28515625" style="25" customWidth="1"/>
    <col min="15894" max="16128" width="11.42578125" style="25"/>
    <col min="16129" max="16129" width="5.28515625" style="25" customWidth="1"/>
    <col min="16130" max="16130" width="16.28515625" style="25" customWidth="1"/>
    <col min="16131" max="16131" width="12.5703125" style="25" customWidth="1"/>
    <col min="16132" max="16132" width="30" style="25" customWidth="1"/>
    <col min="16133" max="16144" width="2" style="25" customWidth="1"/>
    <col min="16145" max="16145" width="17.5703125" style="25" customWidth="1"/>
    <col min="16146" max="16146" width="19.140625" style="25" customWidth="1"/>
    <col min="16147" max="16147" width="8.5703125" style="25" customWidth="1"/>
    <col min="16148" max="16148" width="11.42578125" style="25"/>
    <col min="16149" max="16149" width="13.28515625" style="25" customWidth="1"/>
    <col min="16150" max="16384" width="11.42578125" style="25"/>
  </cols>
  <sheetData>
    <row r="1" spans="1:22" s="24" customFormat="1" ht="18" customHeight="1" x14ac:dyDescent="0.25">
      <c r="A1" s="463" t="s">
        <v>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5"/>
    </row>
    <row r="2" spans="1:22" s="24" customFormat="1" ht="15.75" x14ac:dyDescent="0.25">
      <c r="A2" s="466" t="s">
        <v>187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67"/>
    </row>
    <row r="3" spans="1:22" s="24" customFormat="1" ht="15.75" customHeight="1" x14ac:dyDescent="0.25">
      <c r="A3" s="466" t="s">
        <v>348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67"/>
    </row>
    <row r="4" spans="1:22" ht="15" x14ac:dyDescent="0.25">
      <c r="A4" s="468" t="s">
        <v>125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70"/>
      <c r="U4" s="471"/>
    </row>
    <row r="5" spans="1:22" ht="15" x14ac:dyDescent="0.25">
      <c r="A5" s="472" t="s">
        <v>126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4"/>
      <c r="U5" s="475"/>
    </row>
    <row r="6" spans="1:22" s="26" customFormat="1" ht="15" x14ac:dyDescent="0.25">
      <c r="A6" s="458" t="s">
        <v>5</v>
      </c>
      <c r="B6" s="459" t="s">
        <v>180</v>
      </c>
      <c r="C6" s="459" t="s">
        <v>127</v>
      </c>
      <c r="D6" s="460" t="s">
        <v>6</v>
      </c>
      <c r="E6" s="459" t="s">
        <v>7</v>
      </c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 t="s">
        <v>128</v>
      </c>
      <c r="R6" s="459" t="s">
        <v>339</v>
      </c>
      <c r="S6" s="461" t="s">
        <v>344</v>
      </c>
      <c r="T6" s="461"/>
      <c r="U6" s="462"/>
    </row>
    <row r="7" spans="1:22" ht="15" x14ac:dyDescent="0.2">
      <c r="A7" s="337"/>
      <c r="B7" s="338"/>
      <c r="C7" s="338"/>
      <c r="D7" s="339"/>
      <c r="E7" s="30" t="s">
        <v>8</v>
      </c>
      <c r="F7" s="30" t="s">
        <v>9</v>
      </c>
      <c r="G7" s="30" t="s">
        <v>10</v>
      </c>
      <c r="H7" s="30" t="s">
        <v>11</v>
      </c>
      <c r="I7" s="30" t="s">
        <v>10</v>
      </c>
      <c r="J7" s="30" t="s">
        <v>12</v>
      </c>
      <c r="K7" s="30" t="s">
        <v>12</v>
      </c>
      <c r="L7" s="30" t="s">
        <v>11</v>
      </c>
      <c r="M7" s="30" t="s">
        <v>13</v>
      </c>
      <c r="N7" s="30" t="s">
        <v>14</v>
      </c>
      <c r="O7" s="30" t="s">
        <v>15</v>
      </c>
      <c r="P7" s="30" t="s">
        <v>16</v>
      </c>
      <c r="Q7" s="340"/>
      <c r="R7" s="340"/>
      <c r="S7" s="159" t="s">
        <v>17</v>
      </c>
      <c r="T7" s="159" t="s">
        <v>18</v>
      </c>
      <c r="U7" s="218" t="s">
        <v>19</v>
      </c>
    </row>
    <row r="8" spans="1:22" ht="36" customHeight="1" x14ac:dyDescent="0.2">
      <c r="A8" s="219">
        <v>3</v>
      </c>
      <c r="B8" s="347" t="s">
        <v>137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9"/>
    </row>
    <row r="9" spans="1:22" ht="71.25" x14ac:dyDescent="0.2">
      <c r="A9" s="220"/>
      <c r="B9" s="350" t="s">
        <v>136</v>
      </c>
      <c r="C9" s="350" t="s">
        <v>21</v>
      </c>
      <c r="D9" s="132" t="s">
        <v>130</v>
      </c>
      <c r="E9" s="33"/>
      <c r="F9" s="33"/>
      <c r="G9" s="31"/>
      <c r="H9" s="31"/>
      <c r="I9" s="31" t="s">
        <v>35</v>
      </c>
      <c r="J9" s="31"/>
      <c r="K9" s="31"/>
      <c r="L9" s="31"/>
      <c r="M9" s="31" t="s">
        <v>35</v>
      </c>
      <c r="N9" s="31"/>
      <c r="O9" s="31" t="s">
        <v>35</v>
      </c>
      <c r="P9" s="31"/>
      <c r="Q9" s="216" t="s">
        <v>22</v>
      </c>
      <c r="R9" s="31" t="s">
        <v>43</v>
      </c>
      <c r="S9" s="27">
        <v>1</v>
      </c>
      <c r="T9" s="28">
        <f>U9/3</f>
        <v>20.266666666666666</v>
      </c>
      <c r="U9" s="221">
        <v>60.8</v>
      </c>
    </row>
    <row r="10" spans="1:22" ht="71.25" x14ac:dyDescent="0.2">
      <c r="A10" s="222"/>
      <c r="B10" s="350"/>
      <c r="C10" s="350"/>
      <c r="D10" s="207" t="s">
        <v>190</v>
      </c>
      <c r="E10" s="208"/>
      <c r="F10" s="208"/>
      <c r="G10" s="209"/>
      <c r="H10" s="209"/>
      <c r="I10" s="209"/>
      <c r="J10" s="209" t="s">
        <v>186</v>
      </c>
      <c r="K10" s="209"/>
      <c r="L10" s="209"/>
      <c r="M10" s="209"/>
      <c r="N10" s="209" t="s">
        <v>186</v>
      </c>
      <c r="O10" s="209"/>
      <c r="P10" s="209" t="s">
        <v>186</v>
      </c>
      <c r="Q10" s="210" t="s">
        <v>22</v>
      </c>
      <c r="R10" s="209" t="s">
        <v>43</v>
      </c>
      <c r="S10" s="211">
        <v>1</v>
      </c>
      <c r="T10" s="29">
        <v>0</v>
      </c>
      <c r="U10" s="221">
        <v>0</v>
      </c>
      <c r="V10" s="341"/>
    </row>
    <row r="11" spans="1:22" ht="57" x14ac:dyDescent="0.2">
      <c r="A11" s="222"/>
      <c r="B11" s="350"/>
      <c r="C11" s="350"/>
      <c r="D11" s="212" t="s">
        <v>191</v>
      </c>
      <c r="E11" s="208"/>
      <c r="F11" s="208"/>
      <c r="G11" s="209"/>
      <c r="H11" s="209"/>
      <c r="I11" s="209"/>
      <c r="J11" s="209" t="s">
        <v>186</v>
      </c>
      <c r="K11" s="209"/>
      <c r="L11" s="209"/>
      <c r="M11" s="209"/>
      <c r="N11" s="209" t="s">
        <v>186</v>
      </c>
      <c r="O11" s="209"/>
      <c r="P11" s="209" t="s">
        <v>186</v>
      </c>
      <c r="Q11" s="210" t="s">
        <v>22</v>
      </c>
      <c r="R11" s="209" t="s">
        <v>192</v>
      </c>
      <c r="S11" s="211">
        <v>1</v>
      </c>
      <c r="T11" s="29">
        <v>0</v>
      </c>
      <c r="U11" s="221">
        <v>0</v>
      </c>
      <c r="V11" s="341"/>
    </row>
    <row r="12" spans="1:22" ht="71.25" x14ac:dyDescent="0.2">
      <c r="A12" s="223"/>
      <c r="B12" s="350"/>
      <c r="C12" s="350"/>
      <c r="D12" s="2" t="s">
        <v>131</v>
      </c>
      <c r="E12" s="32"/>
      <c r="F12" s="32"/>
      <c r="G12" s="32"/>
      <c r="H12" s="32"/>
      <c r="I12" s="32"/>
      <c r="J12" s="32" t="s">
        <v>186</v>
      </c>
      <c r="K12" s="32"/>
      <c r="L12" s="32"/>
      <c r="M12" s="32"/>
      <c r="N12" s="32"/>
      <c r="O12" s="32"/>
      <c r="P12" s="32"/>
      <c r="Q12" s="32" t="s">
        <v>22</v>
      </c>
      <c r="R12" s="32" t="s">
        <v>31</v>
      </c>
      <c r="S12" s="27">
        <v>1</v>
      </c>
      <c r="T12" s="28">
        <f>U12/1</f>
        <v>60.8</v>
      </c>
      <c r="U12" s="221">
        <v>60.8</v>
      </c>
    </row>
    <row r="13" spans="1:22" ht="71.25" x14ac:dyDescent="0.2">
      <c r="A13" s="223"/>
      <c r="B13" s="350"/>
      <c r="C13" s="350"/>
      <c r="D13" s="2" t="s">
        <v>132</v>
      </c>
      <c r="E13" s="32" t="s">
        <v>186</v>
      </c>
      <c r="F13" s="32" t="s">
        <v>186</v>
      </c>
      <c r="G13" s="32" t="s">
        <v>186</v>
      </c>
      <c r="H13" s="32" t="s">
        <v>186</v>
      </c>
      <c r="I13" s="32" t="s">
        <v>186</v>
      </c>
      <c r="J13" s="32" t="s">
        <v>186</v>
      </c>
      <c r="K13" s="32" t="s">
        <v>186</v>
      </c>
      <c r="L13" s="32" t="s">
        <v>186</v>
      </c>
      <c r="M13" s="32" t="s">
        <v>186</v>
      </c>
      <c r="N13" s="32" t="s">
        <v>186</v>
      </c>
      <c r="O13" s="32" t="s">
        <v>186</v>
      </c>
      <c r="P13" s="32" t="s">
        <v>186</v>
      </c>
      <c r="Q13" s="32" t="s">
        <v>22</v>
      </c>
      <c r="R13" s="216" t="s">
        <v>138</v>
      </c>
      <c r="S13" s="27">
        <v>1</v>
      </c>
      <c r="T13" s="28">
        <f>U13/12</f>
        <v>15.199999999999998</v>
      </c>
      <c r="U13" s="221">
        <v>182.39999999999998</v>
      </c>
    </row>
    <row r="14" spans="1:22" ht="71.25" x14ac:dyDescent="0.2">
      <c r="A14" s="223"/>
      <c r="B14" s="350"/>
      <c r="C14" s="350"/>
      <c r="D14" s="2" t="s">
        <v>133</v>
      </c>
      <c r="E14" s="32"/>
      <c r="F14" s="32"/>
      <c r="G14" s="32"/>
      <c r="H14" s="32"/>
      <c r="I14" s="32" t="s">
        <v>186</v>
      </c>
      <c r="J14" s="32"/>
      <c r="K14" s="32"/>
      <c r="L14" s="32"/>
      <c r="M14" s="32"/>
      <c r="N14" s="32"/>
      <c r="O14" s="32"/>
      <c r="P14" s="32"/>
      <c r="Q14" s="32" t="s">
        <v>22</v>
      </c>
      <c r="R14" s="32" t="s">
        <v>31</v>
      </c>
      <c r="S14" s="27">
        <v>1</v>
      </c>
      <c r="T14" s="28">
        <f>U14/1</f>
        <v>1000</v>
      </c>
      <c r="U14" s="221">
        <v>1000</v>
      </c>
    </row>
    <row r="15" spans="1:22" ht="71.25" x14ac:dyDescent="0.2">
      <c r="A15" s="223"/>
      <c r="B15" s="350"/>
      <c r="C15" s="350"/>
      <c r="D15" s="2" t="s">
        <v>134</v>
      </c>
      <c r="E15" s="32" t="s">
        <v>186</v>
      </c>
      <c r="F15" s="32" t="s">
        <v>186</v>
      </c>
      <c r="G15" s="32" t="s">
        <v>186</v>
      </c>
      <c r="H15" s="32" t="s">
        <v>186</v>
      </c>
      <c r="I15" s="32" t="s">
        <v>186</v>
      </c>
      <c r="J15" s="32" t="s">
        <v>186</v>
      </c>
      <c r="K15" s="32" t="s">
        <v>186</v>
      </c>
      <c r="L15" s="32" t="s">
        <v>186</v>
      </c>
      <c r="M15" s="32" t="s">
        <v>186</v>
      </c>
      <c r="N15" s="32" t="s">
        <v>186</v>
      </c>
      <c r="O15" s="32" t="s">
        <v>186</v>
      </c>
      <c r="P15" s="32" t="s">
        <v>186</v>
      </c>
      <c r="Q15" s="32" t="s">
        <v>22</v>
      </c>
      <c r="R15" s="32" t="s">
        <v>31</v>
      </c>
      <c r="S15" s="27">
        <v>1</v>
      </c>
      <c r="T15" s="28">
        <f>U15/12</f>
        <v>683.33333333333337</v>
      </c>
      <c r="U15" s="221">
        <v>8200</v>
      </c>
    </row>
    <row r="16" spans="1:22" ht="72" thickBot="1" x14ac:dyDescent="0.25">
      <c r="A16" s="223"/>
      <c r="B16" s="351"/>
      <c r="C16" s="351"/>
      <c r="D16" s="162" t="s">
        <v>135</v>
      </c>
      <c r="E16" s="163" t="s">
        <v>186</v>
      </c>
      <c r="F16" s="163" t="s">
        <v>186</v>
      </c>
      <c r="G16" s="163" t="s">
        <v>186</v>
      </c>
      <c r="H16" s="163" t="s">
        <v>186</v>
      </c>
      <c r="I16" s="163" t="s">
        <v>186</v>
      </c>
      <c r="J16" s="163" t="s">
        <v>186</v>
      </c>
      <c r="K16" s="163" t="s">
        <v>186</v>
      </c>
      <c r="L16" s="163" t="s">
        <v>186</v>
      </c>
      <c r="M16" s="163" t="s">
        <v>186</v>
      </c>
      <c r="N16" s="163" t="s">
        <v>186</v>
      </c>
      <c r="O16" s="163" t="s">
        <v>186</v>
      </c>
      <c r="P16" s="163" t="s">
        <v>186</v>
      </c>
      <c r="Q16" s="163" t="s">
        <v>22</v>
      </c>
      <c r="R16" s="163" t="s">
        <v>31</v>
      </c>
      <c r="S16" s="164">
        <v>1</v>
      </c>
      <c r="T16" s="165">
        <f>U16/12</f>
        <v>15.199999999999998</v>
      </c>
      <c r="U16" s="224">
        <v>182.39999999999998</v>
      </c>
    </row>
    <row r="17" spans="1:21" ht="26.25" customHeight="1" thickBot="1" x14ac:dyDescent="0.25">
      <c r="A17" s="344" t="s">
        <v>343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6"/>
      <c r="T17" s="342">
        <f>SUM(U9:U16)</f>
        <v>9686.4</v>
      </c>
      <c r="U17" s="343"/>
    </row>
  </sheetData>
  <mergeCells count="17">
    <mergeCell ref="V10:V11"/>
    <mergeCell ref="T17:U17"/>
    <mergeCell ref="A17:S17"/>
    <mergeCell ref="S6:U6"/>
    <mergeCell ref="B8:U8"/>
    <mergeCell ref="B9:B16"/>
    <mergeCell ref="C9:C16"/>
    <mergeCell ref="A1:U1"/>
    <mergeCell ref="A2:U2"/>
    <mergeCell ref="A3:U3"/>
    <mergeCell ref="A6:A7"/>
    <mergeCell ref="B6:B7"/>
    <mergeCell ref="C6:C7"/>
    <mergeCell ref="D6:D7"/>
    <mergeCell ref="E6:P6"/>
    <mergeCell ref="Q6:Q7"/>
    <mergeCell ref="R6:R7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21"/>
  <sheetViews>
    <sheetView topLeftCell="A12" zoomScale="80" zoomScaleNormal="80" zoomScalePageLayoutView="90" workbookViewId="0">
      <selection activeCell="T21" sqref="T21:U21"/>
    </sheetView>
  </sheetViews>
  <sheetFormatPr baseColWidth="10" defaultRowHeight="12.75" x14ac:dyDescent="0.2"/>
  <cols>
    <col min="1" max="1" width="5.28515625" style="35" customWidth="1"/>
    <col min="2" max="2" width="26.28515625" style="44" customWidth="1"/>
    <col min="3" max="3" width="19.140625" style="45" customWidth="1"/>
    <col min="4" max="4" width="27.140625" style="45" customWidth="1"/>
    <col min="5" max="8" width="2" style="45" customWidth="1"/>
    <col min="9" max="9" width="2.42578125" style="45" bestFit="1" customWidth="1"/>
    <col min="10" max="10" width="2" style="45" customWidth="1"/>
    <col min="11" max="12" width="2.42578125" style="45" bestFit="1" customWidth="1"/>
    <col min="13" max="16" width="2" style="45" customWidth="1"/>
    <col min="17" max="17" width="19.7109375" style="35" bestFit="1" customWidth="1"/>
    <col min="18" max="18" width="17.42578125" style="45" bestFit="1" customWidth="1"/>
    <col min="19" max="19" width="8.5703125" style="35" customWidth="1"/>
    <col min="20" max="20" width="10.140625" style="35" bestFit="1" customWidth="1"/>
    <col min="21" max="21" width="13.140625" style="35" bestFit="1" customWidth="1"/>
    <col min="22" max="22" width="12.140625" style="35" customWidth="1"/>
    <col min="23" max="23" width="7.42578125" style="35" customWidth="1"/>
    <col min="24" max="24" width="16" style="35" customWidth="1"/>
    <col min="25" max="26" width="11.42578125" style="35"/>
    <col min="27" max="27" width="13.140625" style="35" bestFit="1" customWidth="1"/>
    <col min="28" max="256" width="11.42578125" style="35"/>
    <col min="257" max="257" width="5.28515625" style="35" customWidth="1"/>
    <col min="258" max="258" width="20.28515625" style="35" customWidth="1"/>
    <col min="259" max="259" width="11.140625" style="35" customWidth="1"/>
    <col min="260" max="260" width="23.28515625" style="35" customWidth="1"/>
    <col min="261" max="264" width="2" style="35" customWidth="1"/>
    <col min="265" max="265" width="2.42578125" style="35" bestFit="1" customWidth="1"/>
    <col min="266" max="266" width="2" style="35" customWidth="1"/>
    <col min="267" max="268" width="2.42578125" style="35" bestFit="1" customWidth="1"/>
    <col min="269" max="272" width="2" style="35" customWidth="1"/>
    <col min="273" max="273" width="22.7109375" style="35" customWidth="1"/>
    <col min="274" max="274" width="19.7109375" style="35" customWidth="1"/>
    <col min="275" max="275" width="7.28515625" style="35" customWidth="1"/>
    <col min="276" max="276" width="14" style="35" customWidth="1"/>
    <col min="277" max="277" width="10.5703125" style="35" customWidth="1"/>
    <col min="278" max="278" width="12.140625" style="35" customWidth="1"/>
    <col min="279" max="279" width="7.42578125" style="35" customWidth="1"/>
    <col min="280" max="280" width="16" style="35" customWidth="1"/>
    <col min="281" max="282" width="11.42578125" style="35"/>
    <col min="283" max="283" width="13.140625" style="35" bestFit="1" customWidth="1"/>
    <col min="284" max="512" width="11.42578125" style="35"/>
    <col min="513" max="513" width="5.28515625" style="35" customWidth="1"/>
    <col min="514" max="514" width="20.28515625" style="35" customWidth="1"/>
    <col min="515" max="515" width="11.140625" style="35" customWidth="1"/>
    <col min="516" max="516" width="23.28515625" style="35" customWidth="1"/>
    <col min="517" max="520" width="2" style="35" customWidth="1"/>
    <col min="521" max="521" width="2.42578125" style="35" bestFit="1" customWidth="1"/>
    <col min="522" max="522" width="2" style="35" customWidth="1"/>
    <col min="523" max="524" width="2.42578125" style="35" bestFit="1" customWidth="1"/>
    <col min="525" max="528" width="2" style="35" customWidth="1"/>
    <col min="529" max="529" width="22.7109375" style="35" customWidth="1"/>
    <col min="530" max="530" width="19.7109375" style="35" customWidth="1"/>
    <col min="531" max="531" width="7.28515625" style="35" customWidth="1"/>
    <col min="532" max="532" width="14" style="35" customWidth="1"/>
    <col min="533" max="533" width="10.5703125" style="35" customWidth="1"/>
    <col min="534" max="534" width="12.140625" style="35" customWidth="1"/>
    <col min="535" max="535" width="7.42578125" style="35" customWidth="1"/>
    <col min="536" max="536" width="16" style="35" customWidth="1"/>
    <col min="537" max="538" width="11.42578125" style="35"/>
    <col min="539" max="539" width="13.140625" style="35" bestFit="1" customWidth="1"/>
    <col min="540" max="768" width="11.42578125" style="35"/>
    <col min="769" max="769" width="5.28515625" style="35" customWidth="1"/>
    <col min="770" max="770" width="20.28515625" style="35" customWidth="1"/>
    <col min="771" max="771" width="11.140625" style="35" customWidth="1"/>
    <col min="772" max="772" width="23.28515625" style="35" customWidth="1"/>
    <col min="773" max="776" width="2" style="35" customWidth="1"/>
    <col min="777" max="777" width="2.42578125" style="35" bestFit="1" customWidth="1"/>
    <col min="778" max="778" width="2" style="35" customWidth="1"/>
    <col min="779" max="780" width="2.42578125" style="35" bestFit="1" customWidth="1"/>
    <col min="781" max="784" width="2" style="35" customWidth="1"/>
    <col min="785" max="785" width="22.7109375" style="35" customWidth="1"/>
    <col min="786" max="786" width="19.7109375" style="35" customWidth="1"/>
    <col min="787" max="787" width="7.28515625" style="35" customWidth="1"/>
    <col min="788" max="788" width="14" style="35" customWidth="1"/>
    <col min="789" max="789" width="10.5703125" style="35" customWidth="1"/>
    <col min="790" max="790" width="12.140625" style="35" customWidth="1"/>
    <col min="791" max="791" width="7.42578125" style="35" customWidth="1"/>
    <col min="792" max="792" width="16" style="35" customWidth="1"/>
    <col min="793" max="794" width="11.42578125" style="35"/>
    <col min="795" max="795" width="13.140625" style="35" bestFit="1" customWidth="1"/>
    <col min="796" max="1024" width="11.42578125" style="35"/>
    <col min="1025" max="1025" width="5.28515625" style="35" customWidth="1"/>
    <col min="1026" max="1026" width="20.28515625" style="35" customWidth="1"/>
    <col min="1027" max="1027" width="11.140625" style="35" customWidth="1"/>
    <col min="1028" max="1028" width="23.28515625" style="35" customWidth="1"/>
    <col min="1029" max="1032" width="2" style="35" customWidth="1"/>
    <col min="1033" max="1033" width="2.42578125" style="35" bestFit="1" customWidth="1"/>
    <col min="1034" max="1034" width="2" style="35" customWidth="1"/>
    <col min="1035" max="1036" width="2.42578125" style="35" bestFit="1" customWidth="1"/>
    <col min="1037" max="1040" width="2" style="35" customWidth="1"/>
    <col min="1041" max="1041" width="22.7109375" style="35" customWidth="1"/>
    <col min="1042" max="1042" width="19.7109375" style="35" customWidth="1"/>
    <col min="1043" max="1043" width="7.28515625" style="35" customWidth="1"/>
    <col min="1044" max="1044" width="14" style="35" customWidth="1"/>
    <col min="1045" max="1045" width="10.5703125" style="35" customWidth="1"/>
    <col min="1046" max="1046" width="12.140625" style="35" customWidth="1"/>
    <col min="1047" max="1047" width="7.42578125" style="35" customWidth="1"/>
    <col min="1048" max="1048" width="16" style="35" customWidth="1"/>
    <col min="1049" max="1050" width="11.42578125" style="35"/>
    <col min="1051" max="1051" width="13.140625" style="35" bestFit="1" customWidth="1"/>
    <col min="1052" max="1280" width="11.42578125" style="35"/>
    <col min="1281" max="1281" width="5.28515625" style="35" customWidth="1"/>
    <col min="1282" max="1282" width="20.28515625" style="35" customWidth="1"/>
    <col min="1283" max="1283" width="11.140625" style="35" customWidth="1"/>
    <col min="1284" max="1284" width="23.28515625" style="35" customWidth="1"/>
    <col min="1285" max="1288" width="2" style="35" customWidth="1"/>
    <col min="1289" max="1289" width="2.42578125" style="35" bestFit="1" customWidth="1"/>
    <col min="1290" max="1290" width="2" style="35" customWidth="1"/>
    <col min="1291" max="1292" width="2.42578125" style="35" bestFit="1" customWidth="1"/>
    <col min="1293" max="1296" width="2" style="35" customWidth="1"/>
    <col min="1297" max="1297" width="22.7109375" style="35" customWidth="1"/>
    <col min="1298" max="1298" width="19.7109375" style="35" customWidth="1"/>
    <col min="1299" max="1299" width="7.28515625" style="35" customWidth="1"/>
    <col min="1300" max="1300" width="14" style="35" customWidth="1"/>
    <col min="1301" max="1301" width="10.5703125" style="35" customWidth="1"/>
    <col min="1302" max="1302" width="12.140625" style="35" customWidth="1"/>
    <col min="1303" max="1303" width="7.42578125" style="35" customWidth="1"/>
    <col min="1304" max="1304" width="16" style="35" customWidth="1"/>
    <col min="1305" max="1306" width="11.42578125" style="35"/>
    <col min="1307" max="1307" width="13.140625" style="35" bestFit="1" customWidth="1"/>
    <col min="1308" max="1536" width="11.42578125" style="35"/>
    <col min="1537" max="1537" width="5.28515625" style="35" customWidth="1"/>
    <col min="1538" max="1538" width="20.28515625" style="35" customWidth="1"/>
    <col min="1539" max="1539" width="11.140625" style="35" customWidth="1"/>
    <col min="1540" max="1540" width="23.28515625" style="35" customWidth="1"/>
    <col min="1541" max="1544" width="2" style="35" customWidth="1"/>
    <col min="1545" max="1545" width="2.42578125" style="35" bestFit="1" customWidth="1"/>
    <col min="1546" max="1546" width="2" style="35" customWidth="1"/>
    <col min="1547" max="1548" width="2.42578125" style="35" bestFit="1" customWidth="1"/>
    <col min="1549" max="1552" width="2" style="35" customWidth="1"/>
    <col min="1553" max="1553" width="22.7109375" style="35" customWidth="1"/>
    <col min="1554" max="1554" width="19.7109375" style="35" customWidth="1"/>
    <col min="1555" max="1555" width="7.28515625" style="35" customWidth="1"/>
    <col min="1556" max="1556" width="14" style="35" customWidth="1"/>
    <col min="1557" max="1557" width="10.5703125" style="35" customWidth="1"/>
    <col min="1558" max="1558" width="12.140625" style="35" customWidth="1"/>
    <col min="1559" max="1559" width="7.42578125" style="35" customWidth="1"/>
    <col min="1560" max="1560" width="16" style="35" customWidth="1"/>
    <col min="1561" max="1562" width="11.42578125" style="35"/>
    <col min="1563" max="1563" width="13.140625" style="35" bestFit="1" customWidth="1"/>
    <col min="1564" max="1792" width="11.42578125" style="35"/>
    <col min="1793" max="1793" width="5.28515625" style="35" customWidth="1"/>
    <col min="1794" max="1794" width="20.28515625" style="35" customWidth="1"/>
    <col min="1795" max="1795" width="11.140625" style="35" customWidth="1"/>
    <col min="1796" max="1796" width="23.28515625" style="35" customWidth="1"/>
    <col min="1797" max="1800" width="2" style="35" customWidth="1"/>
    <col min="1801" max="1801" width="2.42578125" style="35" bestFit="1" customWidth="1"/>
    <col min="1802" max="1802" width="2" style="35" customWidth="1"/>
    <col min="1803" max="1804" width="2.42578125" style="35" bestFit="1" customWidth="1"/>
    <col min="1805" max="1808" width="2" style="35" customWidth="1"/>
    <col min="1809" max="1809" width="22.7109375" style="35" customWidth="1"/>
    <col min="1810" max="1810" width="19.7109375" style="35" customWidth="1"/>
    <col min="1811" max="1811" width="7.28515625" style="35" customWidth="1"/>
    <col min="1812" max="1812" width="14" style="35" customWidth="1"/>
    <col min="1813" max="1813" width="10.5703125" style="35" customWidth="1"/>
    <col min="1814" max="1814" width="12.140625" style="35" customWidth="1"/>
    <col min="1815" max="1815" width="7.42578125" style="35" customWidth="1"/>
    <col min="1816" max="1816" width="16" style="35" customWidth="1"/>
    <col min="1817" max="1818" width="11.42578125" style="35"/>
    <col min="1819" max="1819" width="13.140625" style="35" bestFit="1" customWidth="1"/>
    <col min="1820" max="2048" width="11.42578125" style="35"/>
    <col min="2049" max="2049" width="5.28515625" style="35" customWidth="1"/>
    <col min="2050" max="2050" width="20.28515625" style="35" customWidth="1"/>
    <col min="2051" max="2051" width="11.140625" style="35" customWidth="1"/>
    <col min="2052" max="2052" width="23.28515625" style="35" customWidth="1"/>
    <col min="2053" max="2056" width="2" style="35" customWidth="1"/>
    <col min="2057" max="2057" width="2.42578125" style="35" bestFit="1" customWidth="1"/>
    <col min="2058" max="2058" width="2" style="35" customWidth="1"/>
    <col min="2059" max="2060" width="2.42578125" style="35" bestFit="1" customWidth="1"/>
    <col min="2061" max="2064" width="2" style="35" customWidth="1"/>
    <col min="2065" max="2065" width="22.7109375" style="35" customWidth="1"/>
    <col min="2066" max="2066" width="19.7109375" style="35" customWidth="1"/>
    <col min="2067" max="2067" width="7.28515625" style="35" customWidth="1"/>
    <col min="2068" max="2068" width="14" style="35" customWidth="1"/>
    <col min="2069" max="2069" width="10.5703125" style="35" customWidth="1"/>
    <col min="2070" max="2070" width="12.140625" style="35" customWidth="1"/>
    <col min="2071" max="2071" width="7.42578125" style="35" customWidth="1"/>
    <col min="2072" max="2072" width="16" style="35" customWidth="1"/>
    <col min="2073" max="2074" width="11.42578125" style="35"/>
    <col min="2075" max="2075" width="13.140625" style="35" bestFit="1" customWidth="1"/>
    <col min="2076" max="2304" width="11.42578125" style="35"/>
    <col min="2305" max="2305" width="5.28515625" style="35" customWidth="1"/>
    <col min="2306" max="2306" width="20.28515625" style="35" customWidth="1"/>
    <col min="2307" max="2307" width="11.140625" style="35" customWidth="1"/>
    <col min="2308" max="2308" width="23.28515625" style="35" customWidth="1"/>
    <col min="2309" max="2312" width="2" style="35" customWidth="1"/>
    <col min="2313" max="2313" width="2.42578125" style="35" bestFit="1" customWidth="1"/>
    <col min="2314" max="2314" width="2" style="35" customWidth="1"/>
    <col min="2315" max="2316" width="2.42578125" style="35" bestFit="1" customWidth="1"/>
    <col min="2317" max="2320" width="2" style="35" customWidth="1"/>
    <col min="2321" max="2321" width="22.7109375" style="35" customWidth="1"/>
    <col min="2322" max="2322" width="19.7109375" style="35" customWidth="1"/>
    <col min="2323" max="2323" width="7.28515625" style="35" customWidth="1"/>
    <col min="2324" max="2324" width="14" style="35" customWidth="1"/>
    <col min="2325" max="2325" width="10.5703125" style="35" customWidth="1"/>
    <col min="2326" max="2326" width="12.140625" style="35" customWidth="1"/>
    <col min="2327" max="2327" width="7.42578125" style="35" customWidth="1"/>
    <col min="2328" max="2328" width="16" style="35" customWidth="1"/>
    <col min="2329" max="2330" width="11.42578125" style="35"/>
    <col min="2331" max="2331" width="13.140625" style="35" bestFit="1" customWidth="1"/>
    <col min="2332" max="2560" width="11.42578125" style="35"/>
    <col min="2561" max="2561" width="5.28515625" style="35" customWidth="1"/>
    <col min="2562" max="2562" width="20.28515625" style="35" customWidth="1"/>
    <col min="2563" max="2563" width="11.140625" style="35" customWidth="1"/>
    <col min="2564" max="2564" width="23.28515625" style="35" customWidth="1"/>
    <col min="2565" max="2568" width="2" style="35" customWidth="1"/>
    <col min="2569" max="2569" width="2.42578125" style="35" bestFit="1" customWidth="1"/>
    <col min="2570" max="2570" width="2" style="35" customWidth="1"/>
    <col min="2571" max="2572" width="2.42578125" style="35" bestFit="1" customWidth="1"/>
    <col min="2573" max="2576" width="2" style="35" customWidth="1"/>
    <col min="2577" max="2577" width="22.7109375" style="35" customWidth="1"/>
    <col min="2578" max="2578" width="19.7109375" style="35" customWidth="1"/>
    <col min="2579" max="2579" width="7.28515625" style="35" customWidth="1"/>
    <col min="2580" max="2580" width="14" style="35" customWidth="1"/>
    <col min="2581" max="2581" width="10.5703125" style="35" customWidth="1"/>
    <col min="2582" max="2582" width="12.140625" style="35" customWidth="1"/>
    <col min="2583" max="2583" width="7.42578125" style="35" customWidth="1"/>
    <col min="2584" max="2584" width="16" style="35" customWidth="1"/>
    <col min="2585" max="2586" width="11.42578125" style="35"/>
    <col min="2587" max="2587" width="13.140625" style="35" bestFit="1" customWidth="1"/>
    <col min="2588" max="2816" width="11.42578125" style="35"/>
    <col min="2817" max="2817" width="5.28515625" style="35" customWidth="1"/>
    <col min="2818" max="2818" width="20.28515625" style="35" customWidth="1"/>
    <col min="2819" max="2819" width="11.140625" style="35" customWidth="1"/>
    <col min="2820" max="2820" width="23.28515625" style="35" customWidth="1"/>
    <col min="2821" max="2824" width="2" style="35" customWidth="1"/>
    <col min="2825" max="2825" width="2.42578125" style="35" bestFit="1" customWidth="1"/>
    <col min="2826" max="2826" width="2" style="35" customWidth="1"/>
    <col min="2827" max="2828" width="2.42578125" style="35" bestFit="1" customWidth="1"/>
    <col min="2829" max="2832" width="2" style="35" customWidth="1"/>
    <col min="2833" max="2833" width="22.7109375" style="35" customWidth="1"/>
    <col min="2834" max="2834" width="19.7109375" style="35" customWidth="1"/>
    <col min="2835" max="2835" width="7.28515625" style="35" customWidth="1"/>
    <col min="2836" max="2836" width="14" style="35" customWidth="1"/>
    <col min="2837" max="2837" width="10.5703125" style="35" customWidth="1"/>
    <col min="2838" max="2838" width="12.140625" style="35" customWidth="1"/>
    <col min="2839" max="2839" width="7.42578125" style="35" customWidth="1"/>
    <col min="2840" max="2840" width="16" style="35" customWidth="1"/>
    <col min="2841" max="2842" width="11.42578125" style="35"/>
    <col min="2843" max="2843" width="13.140625" style="35" bestFit="1" customWidth="1"/>
    <col min="2844" max="3072" width="11.42578125" style="35"/>
    <col min="3073" max="3073" width="5.28515625" style="35" customWidth="1"/>
    <col min="3074" max="3074" width="20.28515625" style="35" customWidth="1"/>
    <col min="3075" max="3075" width="11.140625" style="35" customWidth="1"/>
    <col min="3076" max="3076" width="23.28515625" style="35" customWidth="1"/>
    <col min="3077" max="3080" width="2" style="35" customWidth="1"/>
    <col min="3081" max="3081" width="2.42578125" style="35" bestFit="1" customWidth="1"/>
    <col min="3082" max="3082" width="2" style="35" customWidth="1"/>
    <col min="3083" max="3084" width="2.42578125" style="35" bestFit="1" customWidth="1"/>
    <col min="3085" max="3088" width="2" style="35" customWidth="1"/>
    <col min="3089" max="3089" width="22.7109375" style="35" customWidth="1"/>
    <col min="3090" max="3090" width="19.7109375" style="35" customWidth="1"/>
    <col min="3091" max="3091" width="7.28515625" style="35" customWidth="1"/>
    <col min="3092" max="3092" width="14" style="35" customWidth="1"/>
    <col min="3093" max="3093" width="10.5703125" style="35" customWidth="1"/>
    <col min="3094" max="3094" width="12.140625" style="35" customWidth="1"/>
    <col min="3095" max="3095" width="7.42578125" style="35" customWidth="1"/>
    <col min="3096" max="3096" width="16" style="35" customWidth="1"/>
    <col min="3097" max="3098" width="11.42578125" style="35"/>
    <col min="3099" max="3099" width="13.140625" style="35" bestFit="1" customWidth="1"/>
    <col min="3100" max="3328" width="11.42578125" style="35"/>
    <col min="3329" max="3329" width="5.28515625" style="35" customWidth="1"/>
    <col min="3330" max="3330" width="20.28515625" style="35" customWidth="1"/>
    <col min="3331" max="3331" width="11.140625" style="35" customWidth="1"/>
    <col min="3332" max="3332" width="23.28515625" style="35" customWidth="1"/>
    <col min="3333" max="3336" width="2" style="35" customWidth="1"/>
    <col min="3337" max="3337" width="2.42578125" style="35" bestFit="1" customWidth="1"/>
    <col min="3338" max="3338" width="2" style="35" customWidth="1"/>
    <col min="3339" max="3340" width="2.42578125" style="35" bestFit="1" customWidth="1"/>
    <col min="3341" max="3344" width="2" style="35" customWidth="1"/>
    <col min="3345" max="3345" width="22.7109375" style="35" customWidth="1"/>
    <col min="3346" max="3346" width="19.7109375" style="35" customWidth="1"/>
    <col min="3347" max="3347" width="7.28515625" style="35" customWidth="1"/>
    <col min="3348" max="3348" width="14" style="35" customWidth="1"/>
    <col min="3349" max="3349" width="10.5703125" style="35" customWidth="1"/>
    <col min="3350" max="3350" width="12.140625" style="35" customWidth="1"/>
    <col min="3351" max="3351" width="7.42578125" style="35" customWidth="1"/>
    <col min="3352" max="3352" width="16" style="35" customWidth="1"/>
    <col min="3353" max="3354" width="11.42578125" style="35"/>
    <col min="3355" max="3355" width="13.140625" style="35" bestFit="1" customWidth="1"/>
    <col min="3356" max="3584" width="11.42578125" style="35"/>
    <col min="3585" max="3585" width="5.28515625" style="35" customWidth="1"/>
    <col min="3586" max="3586" width="20.28515625" style="35" customWidth="1"/>
    <col min="3587" max="3587" width="11.140625" style="35" customWidth="1"/>
    <col min="3588" max="3588" width="23.28515625" style="35" customWidth="1"/>
    <col min="3589" max="3592" width="2" style="35" customWidth="1"/>
    <col min="3593" max="3593" width="2.42578125" style="35" bestFit="1" customWidth="1"/>
    <col min="3594" max="3594" width="2" style="35" customWidth="1"/>
    <col min="3595" max="3596" width="2.42578125" style="35" bestFit="1" customWidth="1"/>
    <col min="3597" max="3600" width="2" style="35" customWidth="1"/>
    <col min="3601" max="3601" width="22.7109375" style="35" customWidth="1"/>
    <col min="3602" max="3602" width="19.7109375" style="35" customWidth="1"/>
    <col min="3603" max="3603" width="7.28515625" style="35" customWidth="1"/>
    <col min="3604" max="3604" width="14" style="35" customWidth="1"/>
    <col min="3605" max="3605" width="10.5703125" style="35" customWidth="1"/>
    <col min="3606" max="3606" width="12.140625" style="35" customWidth="1"/>
    <col min="3607" max="3607" width="7.42578125" style="35" customWidth="1"/>
    <col min="3608" max="3608" width="16" style="35" customWidth="1"/>
    <col min="3609" max="3610" width="11.42578125" style="35"/>
    <col min="3611" max="3611" width="13.140625" style="35" bestFit="1" customWidth="1"/>
    <col min="3612" max="3840" width="11.42578125" style="35"/>
    <col min="3841" max="3841" width="5.28515625" style="35" customWidth="1"/>
    <col min="3842" max="3842" width="20.28515625" style="35" customWidth="1"/>
    <col min="3843" max="3843" width="11.140625" style="35" customWidth="1"/>
    <col min="3844" max="3844" width="23.28515625" style="35" customWidth="1"/>
    <col min="3845" max="3848" width="2" style="35" customWidth="1"/>
    <col min="3849" max="3849" width="2.42578125" style="35" bestFit="1" customWidth="1"/>
    <col min="3850" max="3850" width="2" style="35" customWidth="1"/>
    <col min="3851" max="3852" width="2.42578125" style="35" bestFit="1" customWidth="1"/>
    <col min="3853" max="3856" width="2" style="35" customWidth="1"/>
    <col min="3857" max="3857" width="22.7109375" style="35" customWidth="1"/>
    <col min="3858" max="3858" width="19.7109375" style="35" customWidth="1"/>
    <col min="3859" max="3859" width="7.28515625" style="35" customWidth="1"/>
    <col min="3860" max="3860" width="14" style="35" customWidth="1"/>
    <col min="3861" max="3861" width="10.5703125" style="35" customWidth="1"/>
    <col min="3862" max="3862" width="12.140625" style="35" customWidth="1"/>
    <col min="3863" max="3863" width="7.42578125" style="35" customWidth="1"/>
    <col min="3864" max="3864" width="16" style="35" customWidth="1"/>
    <col min="3865" max="3866" width="11.42578125" style="35"/>
    <col min="3867" max="3867" width="13.140625" style="35" bestFit="1" customWidth="1"/>
    <col min="3868" max="4096" width="11.42578125" style="35"/>
    <col min="4097" max="4097" width="5.28515625" style="35" customWidth="1"/>
    <col min="4098" max="4098" width="20.28515625" style="35" customWidth="1"/>
    <col min="4099" max="4099" width="11.140625" style="35" customWidth="1"/>
    <col min="4100" max="4100" width="23.28515625" style="35" customWidth="1"/>
    <col min="4101" max="4104" width="2" style="35" customWidth="1"/>
    <col min="4105" max="4105" width="2.42578125" style="35" bestFit="1" customWidth="1"/>
    <col min="4106" max="4106" width="2" style="35" customWidth="1"/>
    <col min="4107" max="4108" width="2.42578125" style="35" bestFit="1" customWidth="1"/>
    <col min="4109" max="4112" width="2" style="35" customWidth="1"/>
    <col min="4113" max="4113" width="22.7109375" style="35" customWidth="1"/>
    <col min="4114" max="4114" width="19.7109375" style="35" customWidth="1"/>
    <col min="4115" max="4115" width="7.28515625" style="35" customWidth="1"/>
    <col min="4116" max="4116" width="14" style="35" customWidth="1"/>
    <col min="4117" max="4117" width="10.5703125" style="35" customWidth="1"/>
    <col min="4118" max="4118" width="12.140625" style="35" customWidth="1"/>
    <col min="4119" max="4119" width="7.42578125" style="35" customWidth="1"/>
    <col min="4120" max="4120" width="16" style="35" customWidth="1"/>
    <col min="4121" max="4122" width="11.42578125" style="35"/>
    <col min="4123" max="4123" width="13.140625" style="35" bestFit="1" customWidth="1"/>
    <col min="4124" max="4352" width="11.42578125" style="35"/>
    <col min="4353" max="4353" width="5.28515625" style="35" customWidth="1"/>
    <col min="4354" max="4354" width="20.28515625" style="35" customWidth="1"/>
    <col min="4355" max="4355" width="11.140625" style="35" customWidth="1"/>
    <col min="4356" max="4356" width="23.28515625" style="35" customWidth="1"/>
    <col min="4357" max="4360" width="2" style="35" customWidth="1"/>
    <col min="4361" max="4361" width="2.42578125" style="35" bestFit="1" customWidth="1"/>
    <col min="4362" max="4362" width="2" style="35" customWidth="1"/>
    <col min="4363" max="4364" width="2.42578125" style="35" bestFit="1" customWidth="1"/>
    <col min="4365" max="4368" width="2" style="35" customWidth="1"/>
    <col min="4369" max="4369" width="22.7109375" style="35" customWidth="1"/>
    <col min="4370" max="4370" width="19.7109375" style="35" customWidth="1"/>
    <col min="4371" max="4371" width="7.28515625" style="35" customWidth="1"/>
    <col min="4372" max="4372" width="14" style="35" customWidth="1"/>
    <col min="4373" max="4373" width="10.5703125" style="35" customWidth="1"/>
    <col min="4374" max="4374" width="12.140625" style="35" customWidth="1"/>
    <col min="4375" max="4375" width="7.42578125" style="35" customWidth="1"/>
    <col min="4376" max="4376" width="16" style="35" customWidth="1"/>
    <col min="4377" max="4378" width="11.42578125" style="35"/>
    <col min="4379" max="4379" width="13.140625" style="35" bestFit="1" customWidth="1"/>
    <col min="4380" max="4608" width="11.42578125" style="35"/>
    <col min="4609" max="4609" width="5.28515625" style="35" customWidth="1"/>
    <col min="4610" max="4610" width="20.28515625" style="35" customWidth="1"/>
    <col min="4611" max="4611" width="11.140625" style="35" customWidth="1"/>
    <col min="4612" max="4612" width="23.28515625" style="35" customWidth="1"/>
    <col min="4613" max="4616" width="2" style="35" customWidth="1"/>
    <col min="4617" max="4617" width="2.42578125" style="35" bestFit="1" customWidth="1"/>
    <col min="4618" max="4618" width="2" style="35" customWidth="1"/>
    <col min="4619" max="4620" width="2.42578125" style="35" bestFit="1" customWidth="1"/>
    <col min="4621" max="4624" width="2" style="35" customWidth="1"/>
    <col min="4625" max="4625" width="22.7109375" style="35" customWidth="1"/>
    <col min="4626" max="4626" width="19.7109375" style="35" customWidth="1"/>
    <col min="4627" max="4627" width="7.28515625" style="35" customWidth="1"/>
    <col min="4628" max="4628" width="14" style="35" customWidth="1"/>
    <col min="4629" max="4629" width="10.5703125" style="35" customWidth="1"/>
    <col min="4630" max="4630" width="12.140625" style="35" customWidth="1"/>
    <col min="4631" max="4631" width="7.42578125" style="35" customWidth="1"/>
    <col min="4632" max="4632" width="16" style="35" customWidth="1"/>
    <col min="4633" max="4634" width="11.42578125" style="35"/>
    <col min="4635" max="4635" width="13.140625" style="35" bestFit="1" customWidth="1"/>
    <col min="4636" max="4864" width="11.42578125" style="35"/>
    <col min="4865" max="4865" width="5.28515625" style="35" customWidth="1"/>
    <col min="4866" max="4866" width="20.28515625" style="35" customWidth="1"/>
    <col min="4867" max="4867" width="11.140625" style="35" customWidth="1"/>
    <col min="4868" max="4868" width="23.28515625" style="35" customWidth="1"/>
    <col min="4869" max="4872" width="2" style="35" customWidth="1"/>
    <col min="4873" max="4873" width="2.42578125" style="35" bestFit="1" customWidth="1"/>
    <col min="4874" max="4874" width="2" style="35" customWidth="1"/>
    <col min="4875" max="4876" width="2.42578125" style="35" bestFit="1" customWidth="1"/>
    <col min="4877" max="4880" width="2" style="35" customWidth="1"/>
    <col min="4881" max="4881" width="22.7109375" style="35" customWidth="1"/>
    <col min="4882" max="4882" width="19.7109375" style="35" customWidth="1"/>
    <col min="4883" max="4883" width="7.28515625" style="35" customWidth="1"/>
    <col min="4884" max="4884" width="14" style="35" customWidth="1"/>
    <col min="4885" max="4885" width="10.5703125" style="35" customWidth="1"/>
    <col min="4886" max="4886" width="12.140625" style="35" customWidth="1"/>
    <col min="4887" max="4887" width="7.42578125" style="35" customWidth="1"/>
    <col min="4888" max="4888" width="16" style="35" customWidth="1"/>
    <col min="4889" max="4890" width="11.42578125" style="35"/>
    <col min="4891" max="4891" width="13.140625" style="35" bestFit="1" customWidth="1"/>
    <col min="4892" max="5120" width="11.42578125" style="35"/>
    <col min="5121" max="5121" width="5.28515625" style="35" customWidth="1"/>
    <col min="5122" max="5122" width="20.28515625" style="35" customWidth="1"/>
    <col min="5123" max="5123" width="11.140625" style="35" customWidth="1"/>
    <col min="5124" max="5124" width="23.28515625" style="35" customWidth="1"/>
    <col min="5125" max="5128" width="2" style="35" customWidth="1"/>
    <col min="5129" max="5129" width="2.42578125" style="35" bestFit="1" customWidth="1"/>
    <col min="5130" max="5130" width="2" style="35" customWidth="1"/>
    <col min="5131" max="5132" width="2.42578125" style="35" bestFit="1" customWidth="1"/>
    <col min="5133" max="5136" width="2" style="35" customWidth="1"/>
    <col min="5137" max="5137" width="22.7109375" style="35" customWidth="1"/>
    <col min="5138" max="5138" width="19.7109375" style="35" customWidth="1"/>
    <col min="5139" max="5139" width="7.28515625" style="35" customWidth="1"/>
    <col min="5140" max="5140" width="14" style="35" customWidth="1"/>
    <col min="5141" max="5141" width="10.5703125" style="35" customWidth="1"/>
    <col min="5142" max="5142" width="12.140625" style="35" customWidth="1"/>
    <col min="5143" max="5143" width="7.42578125" style="35" customWidth="1"/>
    <col min="5144" max="5144" width="16" style="35" customWidth="1"/>
    <col min="5145" max="5146" width="11.42578125" style="35"/>
    <col min="5147" max="5147" width="13.140625" style="35" bestFit="1" customWidth="1"/>
    <col min="5148" max="5376" width="11.42578125" style="35"/>
    <col min="5377" max="5377" width="5.28515625" style="35" customWidth="1"/>
    <col min="5378" max="5378" width="20.28515625" style="35" customWidth="1"/>
    <col min="5379" max="5379" width="11.140625" style="35" customWidth="1"/>
    <col min="5380" max="5380" width="23.28515625" style="35" customWidth="1"/>
    <col min="5381" max="5384" width="2" style="35" customWidth="1"/>
    <col min="5385" max="5385" width="2.42578125" style="35" bestFit="1" customWidth="1"/>
    <col min="5386" max="5386" width="2" style="35" customWidth="1"/>
    <col min="5387" max="5388" width="2.42578125" style="35" bestFit="1" customWidth="1"/>
    <col min="5389" max="5392" width="2" style="35" customWidth="1"/>
    <col min="5393" max="5393" width="22.7109375" style="35" customWidth="1"/>
    <col min="5394" max="5394" width="19.7109375" style="35" customWidth="1"/>
    <col min="5395" max="5395" width="7.28515625" style="35" customWidth="1"/>
    <col min="5396" max="5396" width="14" style="35" customWidth="1"/>
    <col min="5397" max="5397" width="10.5703125" style="35" customWidth="1"/>
    <col min="5398" max="5398" width="12.140625" style="35" customWidth="1"/>
    <col min="5399" max="5399" width="7.42578125" style="35" customWidth="1"/>
    <col min="5400" max="5400" width="16" style="35" customWidth="1"/>
    <col min="5401" max="5402" width="11.42578125" style="35"/>
    <col min="5403" max="5403" width="13.140625" style="35" bestFit="1" customWidth="1"/>
    <col min="5404" max="5632" width="11.42578125" style="35"/>
    <col min="5633" max="5633" width="5.28515625" style="35" customWidth="1"/>
    <col min="5634" max="5634" width="20.28515625" style="35" customWidth="1"/>
    <col min="5635" max="5635" width="11.140625" style="35" customWidth="1"/>
    <col min="5636" max="5636" width="23.28515625" style="35" customWidth="1"/>
    <col min="5637" max="5640" width="2" style="35" customWidth="1"/>
    <col min="5641" max="5641" width="2.42578125" style="35" bestFit="1" customWidth="1"/>
    <col min="5642" max="5642" width="2" style="35" customWidth="1"/>
    <col min="5643" max="5644" width="2.42578125" style="35" bestFit="1" customWidth="1"/>
    <col min="5645" max="5648" width="2" style="35" customWidth="1"/>
    <col min="5649" max="5649" width="22.7109375" style="35" customWidth="1"/>
    <col min="5650" max="5650" width="19.7109375" style="35" customWidth="1"/>
    <col min="5651" max="5651" width="7.28515625" style="35" customWidth="1"/>
    <col min="5652" max="5652" width="14" style="35" customWidth="1"/>
    <col min="5653" max="5653" width="10.5703125" style="35" customWidth="1"/>
    <col min="5654" max="5654" width="12.140625" style="35" customWidth="1"/>
    <col min="5655" max="5655" width="7.42578125" style="35" customWidth="1"/>
    <col min="5656" max="5656" width="16" style="35" customWidth="1"/>
    <col min="5657" max="5658" width="11.42578125" style="35"/>
    <col min="5659" max="5659" width="13.140625" style="35" bestFit="1" customWidth="1"/>
    <col min="5660" max="5888" width="11.42578125" style="35"/>
    <col min="5889" max="5889" width="5.28515625" style="35" customWidth="1"/>
    <col min="5890" max="5890" width="20.28515625" style="35" customWidth="1"/>
    <col min="5891" max="5891" width="11.140625" style="35" customWidth="1"/>
    <col min="5892" max="5892" width="23.28515625" style="35" customWidth="1"/>
    <col min="5893" max="5896" width="2" style="35" customWidth="1"/>
    <col min="5897" max="5897" width="2.42578125" style="35" bestFit="1" customWidth="1"/>
    <col min="5898" max="5898" width="2" style="35" customWidth="1"/>
    <col min="5899" max="5900" width="2.42578125" style="35" bestFit="1" customWidth="1"/>
    <col min="5901" max="5904" width="2" style="35" customWidth="1"/>
    <col min="5905" max="5905" width="22.7109375" style="35" customWidth="1"/>
    <col min="5906" max="5906" width="19.7109375" style="35" customWidth="1"/>
    <col min="5907" max="5907" width="7.28515625" style="35" customWidth="1"/>
    <col min="5908" max="5908" width="14" style="35" customWidth="1"/>
    <col min="5909" max="5909" width="10.5703125" style="35" customWidth="1"/>
    <col min="5910" max="5910" width="12.140625" style="35" customWidth="1"/>
    <col min="5911" max="5911" width="7.42578125" style="35" customWidth="1"/>
    <col min="5912" max="5912" width="16" style="35" customWidth="1"/>
    <col min="5913" max="5914" width="11.42578125" style="35"/>
    <col min="5915" max="5915" width="13.140625" style="35" bestFit="1" customWidth="1"/>
    <col min="5916" max="6144" width="11.42578125" style="35"/>
    <col min="6145" max="6145" width="5.28515625" style="35" customWidth="1"/>
    <col min="6146" max="6146" width="20.28515625" style="35" customWidth="1"/>
    <col min="6147" max="6147" width="11.140625" style="35" customWidth="1"/>
    <col min="6148" max="6148" width="23.28515625" style="35" customWidth="1"/>
    <col min="6149" max="6152" width="2" style="35" customWidth="1"/>
    <col min="6153" max="6153" width="2.42578125" style="35" bestFit="1" customWidth="1"/>
    <col min="6154" max="6154" width="2" style="35" customWidth="1"/>
    <col min="6155" max="6156" width="2.42578125" style="35" bestFit="1" customWidth="1"/>
    <col min="6157" max="6160" width="2" style="35" customWidth="1"/>
    <col min="6161" max="6161" width="22.7109375" style="35" customWidth="1"/>
    <col min="6162" max="6162" width="19.7109375" style="35" customWidth="1"/>
    <col min="6163" max="6163" width="7.28515625" style="35" customWidth="1"/>
    <col min="6164" max="6164" width="14" style="35" customWidth="1"/>
    <col min="6165" max="6165" width="10.5703125" style="35" customWidth="1"/>
    <col min="6166" max="6166" width="12.140625" style="35" customWidth="1"/>
    <col min="6167" max="6167" width="7.42578125" style="35" customWidth="1"/>
    <col min="6168" max="6168" width="16" style="35" customWidth="1"/>
    <col min="6169" max="6170" width="11.42578125" style="35"/>
    <col min="6171" max="6171" width="13.140625" style="35" bestFit="1" customWidth="1"/>
    <col min="6172" max="6400" width="11.42578125" style="35"/>
    <col min="6401" max="6401" width="5.28515625" style="35" customWidth="1"/>
    <col min="6402" max="6402" width="20.28515625" style="35" customWidth="1"/>
    <col min="6403" max="6403" width="11.140625" style="35" customWidth="1"/>
    <col min="6404" max="6404" width="23.28515625" style="35" customWidth="1"/>
    <col min="6405" max="6408" width="2" style="35" customWidth="1"/>
    <col min="6409" max="6409" width="2.42578125" style="35" bestFit="1" customWidth="1"/>
    <col min="6410" max="6410" width="2" style="35" customWidth="1"/>
    <col min="6411" max="6412" width="2.42578125" style="35" bestFit="1" customWidth="1"/>
    <col min="6413" max="6416" width="2" style="35" customWidth="1"/>
    <col min="6417" max="6417" width="22.7109375" style="35" customWidth="1"/>
    <col min="6418" max="6418" width="19.7109375" style="35" customWidth="1"/>
    <col min="6419" max="6419" width="7.28515625" style="35" customWidth="1"/>
    <col min="6420" max="6420" width="14" style="35" customWidth="1"/>
    <col min="6421" max="6421" width="10.5703125" style="35" customWidth="1"/>
    <col min="6422" max="6422" width="12.140625" style="35" customWidth="1"/>
    <col min="6423" max="6423" width="7.42578125" style="35" customWidth="1"/>
    <col min="6424" max="6424" width="16" style="35" customWidth="1"/>
    <col min="6425" max="6426" width="11.42578125" style="35"/>
    <col min="6427" max="6427" width="13.140625" style="35" bestFit="1" customWidth="1"/>
    <col min="6428" max="6656" width="11.42578125" style="35"/>
    <col min="6657" max="6657" width="5.28515625" style="35" customWidth="1"/>
    <col min="6658" max="6658" width="20.28515625" style="35" customWidth="1"/>
    <col min="6659" max="6659" width="11.140625" style="35" customWidth="1"/>
    <col min="6660" max="6660" width="23.28515625" style="35" customWidth="1"/>
    <col min="6661" max="6664" width="2" style="35" customWidth="1"/>
    <col min="6665" max="6665" width="2.42578125" style="35" bestFit="1" customWidth="1"/>
    <col min="6666" max="6666" width="2" style="35" customWidth="1"/>
    <col min="6667" max="6668" width="2.42578125" style="35" bestFit="1" customWidth="1"/>
    <col min="6669" max="6672" width="2" style="35" customWidth="1"/>
    <col min="6673" max="6673" width="22.7109375" style="35" customWidth="1"/>
    <col min="6674" max="6674" width="19.7109375" style="35" customWidth="1"/>
    <col min="6675" max="6675" width="7.28515625" style="35" customWidth="1"/>
    <col min="6676" max="6676" width="14" style="35" customWidth="1"/>
    <col min="6677" max="6677" width="10.5703125" style="35" customWidth="1"/>
    <col min="6678" max="6678" width="12.140625" style="35" customWidth="1"/>
    <col min="6679" max="6679" width="7.42578125" style="35" customWidth="1"/>
    <col min="6680" max="6680" width="16" style="35" customWidth="1"/>
    <col min="6681" max="6682" width="11.42578125" style="35"/>
    <col min="6683" max="6683" width="13.140625" style="35" bestFit="1" customWidth="1"/>
    <col min="6684" max="6912" width="11.42578125" style="35"/>
    <col min="6913" max="6913" width="5.28515625" style="35" customWidth="1"/>
    <col min="6914" max="6914" width="20.28515625" style="35" customWidth="1"/>
    <col min="6915" max="6915" width="11.140625" style="35" customWidth="1"/>
    <col min="6916" max="6916" width="23.28515625" style="35" customWidth="1"/>
    <col min="6917" max="6920" width="2" style="35" customWidth="1"/>
    <col min="6921" max="6921" width="2.42578125" style="35" bestFit="1" customWidth="1"/>
    <col min="6922" max="6922" width="2" style="35" customWidth="1"/>
    <col min="6923" max="6924" width="2.42578125" style="35" bestFit="1" customWidth="1"/>
    <col min="6925" max="6928" width="2" style="35" customWidth="1"/>
    <col min="6929" max="6929" width="22.7109375" style="35" customWidth="1"/>
    <col min="6930" max="6930" width="19.7109375" style="35" customWidth="1"/>
    <col min="6931" max="6931" width="7.28515625" style="35" customWidth="1"/>
    <col min="6932" max="6932" width="14" style="35" customWidth="1"/>
    <col min="6933" max="6933" width="10.5703125" style="35" customWidth="1"/>
    <col min="6934" max="6934" width="12.140625" style="35" customWidth="1"/>
    <col min="6935" max="6935" width="7.42578125" style="35" customWidth="1"/>
    <col min="6936" max="6936" width="16" style="35" customWidth="1"/>
    <col min="6937" max="6938" width="11.42578125" style="35"/>
    <col min="6939" max="6939" width="13.140625" style="35" bestFit="1" customWidth="1"/>
    <col min="6940" max="7168" width="11.42578125" style="35"/>
    <col min="7169" max="7169" width="5.28515625" style="35" customWidth="1"/>
    <col min="7170" max="7170" width="20.28515625" style="35" customWidth="1"/>
    <col min="7171" max="7171" width="11.140625" style="35" customWidth="1"/>
    <col min="7172" max="7172" width="23.28515625" style="35" customWidth="1"/>
    <col min="7173" max="7176" width="2" style="35" customWidth="1"/>
    <col min="7177" max="7177" width="2.42578125" style="35" bestFit="1" customWidth="1"/>
    <col min="7178" max="7178" width="2" style="35" customWidth="1"/>
    <col min="7179" max="7180" width="2.42578125" style="35" bestFit="1" customWidth="1"/>
    <col min="7181" max="7184" width="2" style="35" customWidth="1"/>
    <col min="7185" max="7185" width="22.7109375" style="35" customWidth="1"/>
    <col min="7186" max="7186" width="19.7109375" style="35" customWidth="1"/>
    <col min="7187" max="7187" width="7.28515625" style="35" customWidth="1"/>
    <col min="7188" max="7188" width="14" style="35" customWidth="1"/>
    <col min="7189" max="7189" width="10.5703125" style="35" customWidth="1"/>
    <col min="7190" max="7190" width="12.140625" style="35" customWidth="1"/>
    <col min="7191" max="7191" width="7.42578125" style="35" customWidth="1"/>
    <col min="7192" max="7192" width="16" style="35" customWidth="1"/>
    <col min="7193" max="7194" width="11.42578125" style="35"/>
    <col min="7195" max="7195" width="13.140625" style="35" bestFit="1" customWidth="1"/>
    <col min="7196" max="7424" width="11.42578125" style="35"/>
    <col min="7425" max="7425" width="5.28515625" style="35" customWidth="1"/>
    <col min="7426" max="7426" width="20.28515625" style="35" customWidth="1"/>
    <col min="7427" max="7427" width="11.140625" style="35" customWidth="1"/>
    <col min="7428" max="7428" width="23.28515625" style="35" customWidth="1"/>
    <col min="7429" max="7432" width="2" style="35" customWidth="1"/>
    <col min="7433" max="7433" width="2.42578125" style="35" bestFit="1" customWidth="1"/>
    <col min="7434" max="7434" width="2" style="35" customWidth="1"/>
    <col min="7435" max="7436" width="2.42578125" style="35" bestFit="1" customWidth="1"/>
    <col min="7437" max="7440" width="2" style="35" customWidth="1"/>
    <col min="7441" max="7441" width="22.7109375" style="35" customWidth="1"/>
    <col min="7442" max="7442" width="19.7109375" style="35" customWidth="1"/>
    <col min="7443" max="7443" width="7.28515625" style="35" customWidth="1"/>
    <col min="7444" max="7444" width="14" style="35" customWidth="1"/>
    <col min="7445" max="7445" width="10.5703125" style="35" customWidth="1"/>
    <col min="7446" max="7446" width="12.140625" style="35" customWidth="1"/>
    <col min="7447" max="7447" width="7.42578125" style="35" customWidth="1"/>
    <col min="7448" max="7448" width="16" style="35" customWidth="1"/>
    <col min="7449" max="7450" width="11.42578125" style="35"/>
    <col min="7451" max="7451" width="13.140625" style="35" bestFit="1" customWidth="1"/>
    <col min="7452" max="7680" width="11.42578125" style="35"/>
    <col min="7681" max="7681" width="5.28515625" style="35" customWidth="1"/>
    <col min="7682" max="7682" width="20.28515625" style="35" customWidth="1"/>
    <col min="7683" max="7683" width="11.140625" style="35" customWidth="1"/>
    <col min="7684" max="7684" width="23.28515625" style="35" customWidth="1"/>
    <col min="7685" max="7688" width="2" style="35" customWidth="1"/>
    <col min="7689" max="7689" width="2.42578125" style="35" bestFit="1" customWidth="1"/>
    <col min="7690" max="7690" width="2" style="35" customWidth="1"/>
    <col min="7691" max="7692" width="2.42578125" style="35" bestFit="1" customWidth="1"/>
    <col min="7693" max="7696" width="2" style="35" customWidth="1"/>
    <col min="7697" max="7697" width="22.7109375" style="35" customWidth="1"/>
    <col min="7698" max="7698" width="19.7109375" style="35" customWidth="1"/>
    <col min="7699" max="7699" width="7.28515625" style="35" customWidth="1"/>
    <col min="7700" max="7700" width="14" style="35" customWidth="1"/>
    <col min="7701" max="7701" width="10.5703125" style="35" customWidth="1"/>
    <col min="7702" max="7702" width="12.140625" style="35" customWidth="1"/>
    <col min="7703" max="7703" width="7.42578125" style="35" customWidth="1"/>
    <col min="7704" max="7704" width="16" style="35" customWidth="1"/>
    <col min="7705" max="7706" width="11.42578125" style="35"/>
    <col min="7707" max="7707" width="13.140625" style="35" bestFit="1" customWidth="1"/>
    <col min="7708" max="7936" width="11.42578125" style="35"/>
    <col min="7937" max="7937" width="5.28515625" style="35" customWidth="1"/>
    <col min="7938" max="7938" width="20.28515625" style="35" customWidth="1"/>
    <col min="7939" max="7939" width="11.140625" style="35" customWidth="1"/>
    <col min="7940" max="7940" width="23.28515625" style="35" customWidth="1"/>
    <col min="7941" max="7944" width="2" style="35" customWidth="1"/>
    <col min="7945" max="7945" width="2.42578125" style="35" bestFit="1" customWidth="1"/>
    <col min="7946" max="7946" width="2" style="35" customWidth="1"/>
    <col min="7947" max="7948" width="2.42578125" style="35" bestFit="1" customWidth="1"/>
    <col min="7949" max="7952" width="2" style="35" customWidth="1"/>
    <col min="7953" max="7953" width="22.7109375" style="35" customWidth="1"/>
    <col min="7954" max="7954" width="19.7109375" style="35" customWidth="1"/>
    <col min="7955" max="7955" width="7.28515625" style="35" customWidth="1"/>
    <col min="7956" max="7956" width="14" style="35" customWidth="1"/>
    <col min="7957" max="7957" width="10.5703125" style="35" customWidth="1"/>
    <col min="7958" max="7958" width="12.140625" style="35" customWidth="1"/>
    <col min="7959" max="7959" width="7.42578125" style="35" customWidth="1"/>
    <col min="7960" max="7960" width="16" style="35" customWidth="1"/>
    <col min="7961" max="7962" width="11.42578125" style="35"/>
    <col min="7963" max="7963" width="13.140625" style="35" bestFit="1" customWidth="1"/>
    <col min="7964" max="8192" width="11.42578125" style="35"/>
    <col min="8193" max="8193" width="5.28515625" style="35" customWidth="1"/>
    <col min="8194" max="8194" width="20.28515625" style="35" customWidth="1"/>
    <col min="8195" max="8195" width="11.140625" style="35" customWidth="1"/>
    <col min="8196" max="8196" width="23.28515625" style="35" customWidth="1"/>
    <col min="8197" max="8200" width="2" style="35" customWidth="1"/>
    <col min="8201" max="8201" width="2.42578125" style="35" bestFit="1" customWidth="1"/>
    <col min="8202" max="8202" width="2" style="35" customWidth="1"/>
    <col min="8203" max="8204" width="2.42578125" style="35" bestFit="1" customWidth="1"/>
    <col min="8205" max="8208" width="2" style="35" customWidth="1"/>
    <col min="8209" max="8209" width="22.7109375" style="35" customWidth="1"/>
    <col min="8210" max="8210" width="19.7109375" style="35" customWidth="1"/>
    <col min="8211" max="8211" width="7.28515625" style="35" customWidth="1"/>
    <col min="8212" max="8212" width="14" style="35" customWidth="1"/>
    <col min="8213" max="8213" width="10.5703125" style="35" customWidth="1"/>
    <col min="8214" max="8214" width="12.140625" style="35" customWidth="1"/>
    <col min="8215" max="8215" width="7.42578125" style="35" customWidth="1"/>
    <col min="8216" max="8216" width="16" style="35" customWidth="1"/>
    <col min="8217" max="8218" width="11.42578125" style="35"/>
    <col min="8219" max="8219" width="13.140625" style="35" bestFit="1" customWidth="1"/>
    <col min="8220" max="8448" width="11.42578125" style="35"/>
    <col min="8449" max="8449" width="5.28515625" style="35" customWidth="1"/>
    <col min="8450" max="8450" width="20.28515625" style="35" customWidth="1"/>
    <col min="8451" max="8451" width="11.140625" style="35" customWidth="1"/>
    <col min="8452" max="8452" width="23.28515625" style="35" customWidth="1"/>
    <col min="8453" max="8456" width="2" style="35" customWidth="1"/>
    <col min="8457" max="8457" width="2.42578125" style="35" bestFit="1" customWidth="1"/>
    <col min="8458" max="8458" width="2" style="35" customWidth="1"/>
    <col min="8459" max="8460" width="2.42578125" style="35" bestFit="1" customWidth="1"/>
    <col min="8461" max="8464" width="2" style="35" customWidth="1"/>
    <col min="8465" max="8465" width="22.7109375" style="35" customWidth="1"/>
    <col min="8466" max="8466" width="19.7109375" style="35" customWidth="1"/>
    <col min="8467" max="8467" width="7.28515625" style="35" customWidth="1"/>
    <col min="8468" max="8468" width="14" style="35" customWidth="1"/>
    <col min="8469" max="8469" width="10.5703125" style="35" customWidth="1"/>
    <col min="8470" max="8470" width="12.140625" style="35" customWidth="1"/>
    <col min="8471" max="8471" width="7.42578125" style="35" customWidth="1"/>
    <col min="8472" max="8472" width="16" style="35" customWidth="1"/>
    <col min="8473" max="8474" width="11.42578125" style="35"/>
    <col min="8475" max="8475" width="13.140625" style="35" bestFit="1" customWidth="1"/>
    <col min="8476" max="8704" width="11.42578125" style="35"/>
    <col min="8705" max="8705" width="5.28515625" style="35" customWidth="1"/>
    <col min="8706" max="8706" width="20.28515625" style="35" customWidth="1"/>
    <col min="8707" max="8707" width="11.140625" style="35" customWidth="1"/>
    <col min="8708" max="8708" width="23.28515625" style="35" customWidth="1"/>
    <col min="8709" max="8712" width="2" style="35" customWidth="1"/>
    <col min="8713" max="8713" width="2.42578125" style="35" bestFit="1" customWidth="1"/>
    <col min="8714" max="8714" width="2" style="35" customWidth="1"/>
    <col min="8715" max="8716" width="2.42578125" style="35" bestFit="1" customWidth="1"/>
    <col min="8717" max="8720" width="2" style="35" customWidth="1"/>
    <col min="8721" max="8721" width="22.7109375" style="35" customWidth="1"/>
    <col min="8722" max="8722" width="19.7109375" style="35" customWidth="1"/>
    <col min="8723" max="8723" width="7.28515625" style="35" customWidth="1"/>
    <col min="8724" max="8724" width="14" style="35" customWidth="1"/>
    <col min="8725" max="8725" width="10.5703125" style="35" customWidth="1"/>
    <col min="8726" max="8726" width="12.140625" style="35" customWidth="1"/>
    <col min="8727" max="8727" width="7.42578125" style="35" customWidth="1"/>
    <col min="8728" max="8728" width="16" style="35" customWidth="1"/>
    <col min="8729" max="8730" width="11.42578125" style="35"/>
    <col min="8731" max="8731" width="13.140625" style="35" bestFit="1" customWidth="1"/>
    <col min="8732" max="8960" width="11.42578125" style="35"/>
    <col min="8961" max="8961" width="5.28515625" style="35" customWidth="1"/>
    <col min="8962" max="8962" width="20.28515625" style="35" customWidth="1"/>
    <col min="8963" max="8963" width="11.140625" style="35" customWidth="1"/>
    <col min="8964" max="8964" width="23.28515625" style="35" customWidth="1"/>
    <col min="8965" max="8968" width="2" style="35" customWidth="1"/>
    <col min="8969" max="8969" width="2.42578125" style="35" bestFit="1" customWidth="1"/>
    <col min="8970" max="8970" width="2" style="35" customWidth="1"/>
    <col min="8971" max="8972" width="2.42578125" style="35" bestFit="1" customWidth="1"/>
    <col min="8973" max="8976" width="2" style="35" customWidth="1"/>
    <col min="8977" max="8977" width="22.7109375" style="35" customWidth="1"/>
    <col min="8978" max="8978" width="19.7109375" style="35" customWidth="1"/>
    <col min="8979" max="8979" width="7.28515625" style="35" customWidth="1"/>
    <col min="8980" max="8980" width="14" style="35" customWidth="1"/>
    <col min="8981" max="8981" width="10.5703125" style="35" customWidth="1"/>
    <col min="8982" max="8982" width="12.140625" style="35" customWidth="1"/>
    <col min="8983" max="8983" width="7.42578125" style="35" customWidth="1"/>
    <col min="8984" max="8984" width="16" style="35" customWidth="1"/>
    <col min="8985" max="8986" width="11.42578125" style="35"/>
    <col min="8987" max="8987" width="13.140625" style="35" bestFit="1" customWidth="1"/>
    <col min="8988" max="9216" width="11.42578125" style="35"/>
    <col min="9217" max="9217" width="5.28515625" style="35" customWidth="1"/>
    <col min="9218" max="9218" width="20.28515625" style="35" customWidth="1"/>
    <col min="9219" max="9219" width="11.140625" style="35" customWidth="1"/>
    <col min="9220" max="9220" width="23.28515625" style="35" customWidth="1"/>
    <col min="9221" max="9224" width="2" style="35" customWidth="1"/>
    <col min="9225" max="9225" width="2.42578125" style="35" bestFit="1" customWidth="1"/>
    <col min="9226" max="9226" width="2" style="35" customWidth="1"/>
    <col min="9227" max="9228" width="2.42578125" style="35" bestFit="1" customWidth="1"/>
    <col min="9229" max="9232" width="2" style="35" customWidth="1"/>
    <col min="9233" max="9233" width="22.7109375" style="35" customWidth="1"/>
    <col min="9234" max="9234" width="19.7109375" style="35" customWidth="1"/>
    <col min="9235" max="9235" width="7.28515625" style="35" customWidth="1"/>
    <col min="9236" max="9236" width="14" style="35" customWidth="1"/>
    <col min="9237" max="9237" width="10.5703125" style="35" customWidth="1"/>
    <col min="9238" max="9238" width="12.140625" style="35" customWidth="1"/>
    <col min="9239" max="9239" width="7.42578125" style="35" customWidth="1"/>
    <col min="9240" max="9240" width="16" style="35" customWidth="1"/>
    <col min="9241" max="9242" width="11.42578125" style="35"/>
    <col min="9243" max="9243" width="13.140625" style="35" bestFit="1" customWidth="1"/>
    <col min="9244" max="9472" width="11.42578125" style="35"/>
    <col min="9473" max="9473" width="5.28515625" style="35" customWidth="1"/>
    <col min="9474" max="9474" width="20.28515625" style="35" customWidth="1"/>
    <col min="9475" max="9475" width="11.140625" style="35" customWidth="1"/>
    <col min="9476" max="9476" width="23.28515625" style="35" customWidth="1"/>
    <col min="9477" max="9480" width="2" style="35" customWidth="1"/>
    <col min="9481" max="9481" width="2.42578125" style="35" bestFit="1" customWidth="1"/>
    <col min="9482" max="9482" width="2" style="35" customWidth="1"/>
    <col min="9483" max="9484" width="2.42578125" style="35" bestFit="1" customWidth="1"/>
    <col min="9485" max="9488" width="2" style="35" customWidth="1"/>
    <col min="9489" max="9489" width="22.7109375" style="35" customWidth="1"/>
    <col min="9490" max="9490" width="19.7109375" style="35" customWidth="1"/>
    <col min="9491" max="9491" width="7.28515625" style="35" customWidth="1"/>
    <col min="9492" max="9492" width="14" style="35" customWidth="1"/>
    <col min="9493" max="9493" width="10.5703125" style="35" customWidth="1"/>
    <col min="9494" max="9494" width="12.140625" style="35" customWidth="1"/>
    <col min="9495" max="9495" width="7.42578125" style="35" customWidth="1"/>
    <col min="9496" max="9496" width="16" style="35" customWidth="1"/>
    <col min="9497" max="9498" width="11.42578125" style="35"/>
    <col min="9499" max="9499" width="13.140625" style="35" bestFit="1" customWidth="1"/>
    <col min="9500" max="9728" width="11.42578125" style="35"/>
    <col min="9729" max="9729" width="5.28515625" style="35" customWidth="1"/>
    <col min="9730" max="9730" width="20.28515625" style="35" customWidth="1"/>
    <col min="9731" max="9731" width="11.140625" style="35" customWidth="1"/>
    <col min="9732" max="9732" width="23.28515625" style="35" customWidth="1"/>
    <col min="9733" max="9736" width="2" style="35" customWidth="1"/>
    <col min="9737" max="9737" width="2.42578125" style="35" bestFit="1" customWidth="1"/>
    <col min="9738" max="9738" width="2" style="35" customWidth="1"/>
    <col min="9739" max="9740" width="2.42578125" style="35" bestFit="1" customWidth="1"/>
    <col min="9741" max="9744" width="2" style="35" customWidth="1"/>
    <col min="9745" max="9745" width="22.7109375" style="35" customWidth="1"/>
    <col min="9746" max="9746" width="19.7109375" style="35" customWidth="1"/>
    <col min="9747" max="9747" width="7.28515625" style="35" customWidth="1"/>
    <col min="9748" max="9748" width="14" style="35" customWidth="1"/>
    <col min="9749" max="9749" width="10.5703125" style="35" customWidth="1"/>
    <col min="9750" max="9750" width="12.140625" style="35" customWidth="1"/>
    <col min="9751" max="9751" width="7.42578125" style="35" customWidth="1"/>
    <col min="9752" max="9752" width="16" style="35" customWidth="1"/>
    <col min="9753" max="9754" width="11.42578125" style="35"/>
    <col min="9755" max="9755" width="13.140625" style="35" bestFit="1" customWidth="1"/>
    <col min="9756" max="9984" width="11.42578125" style="35"/>
    <col min="9985" max="9985" width="5.28515625" style="35" customWidth="1"/>
    <col min="9986" max="9986" width="20.28515625" style="35" customWidth="1"/>
    <col min="9987" max="9987" width="11.140625" style="35" customWidth="1"/>
    <col min="9988" max="9988" width="23.28515625" style="35" customWidth="1"/>
    <col min="9989" max="9992" width="2" style="35" customWidth="1"/>
    <col min="9993" max="9993" width="2.42578125" style="35" bestFit="1" customWidth="1"/>
    <col min="9994" max="9994" width="2" style="35" customWidth="1"/>
    <col min="9995" max="9996" width="2.42578125" style="35" bestFit="1" customWidth="1"/>
    <col min="9997" max="10000" width="2" style="35" customWidth="1"/>
    <col min="10001" max="10001" width="22.7109375" style="35" customWidth="1"/>
    <col min="10002" max="10002" width="19.7109375" style="35" customWidth="1"/>
    <col min="10003" max="10003" width="7.28515625" style="35" customWidth="1"/>
    <col min="10004" max="10004" width="14" style="35" customWidth="1"/>
    <col min="10005" max="10005" width="10.5703125" style="35" customWidth="1"/>
    <col min="10006" max="10006" width="12.140625" style="35" customWidth="1"/>
    <col min="10007" max="10007" width="7.42578125" style="35" customWidth="1"/>
    <col min="10008" max="10008" width="16" style="35" customWidth="1"/>
    <col min="10009" max="10010" width="11.42578125" style="35"/>
    <col min="10011" max="10011" width="13.140625" style="35" bestFit="1" customWidth="1"/>
    <col min="10012" max="10240" width="11.42578125" style="35"/>
    <col min="10241" max="10241" width="5.28515625" style="35" customWidth="1"/>
    <col min="10242" max="10242" width="20.28515625" style="35" customWidth="1"/>
    <col min="10243" max="10243" width="11.140625" style="35" customWidth="1"/>
    <col min="10244" max="10244" width="23.28515625" style="35" customWidth="1"/>
    <col min="10245" max="10248" width="2" style="35" customWidth="1"/>
    <col min="10249" max="10249" width="2.42578125" style="35" bestFit="1" customWidth="1"/>
    <col min="10250" max="10250" width="2" style="35" customWidth="1"/>
    <col min="10251" max="10252" width="2.42578125" style="35" bestFit="1" customWidth="1"/>
    <col min="10253" max="10256" width="2" style="35" customWidth="1"/>
    <col min="10257" max="10257" width="22.7109375" style="35" customWidth="1"/>
    <col min="10258" max="10258" width="19.7109375" style="35" customWidth="1"/>
    <col min="10259" max="10259" width="7.28515625" style="35" customWidth="1"/>
    <col min="10260" max="10260" width="14" style="35" customWidth="1"/>
    <col min="10261" max="10261" width="10.5703125" style="35" customWidth="1"/>
    <col min="10262" max="10262" width="12.140625" style="35" customWidth="1"/>
    <col min="10263" max="10263" width="7.42578125" style="35" customWidth="1"/>
    <col min="10264" max="10264" width="16" style="35" customWidth="1"/>
    <col min="10265" max="10266" width="11.42578125" style="35"/>
    <col min="10267" max="10267" width="13.140625" style="35" bestFit="1" customWidth="1"/>
    <col min="10268" max="10496" width="11.42578125" style="35"/>
    <col min="10497" max="10497" width="5.28515625" style="35" customWidth="1"/>
    <col min="10498" max="10498" width="20.28515625" style="35" customWidth="1"/>
    <col min="10499" max="10499" width="11.140625" style="35" customWidth="1"/>
    <col min="10500" max="10500" width="23.28515625" style="35" customWidth="1"/>
    <col min="10501" max="10504" width="2" style="35" customWidth="1"/>
    <col min="10505" max="10505" width="2.42578125" style="35" bestFit="1" customWidth="1"/>
    <col min="10506" max="10506" width="2" style="35" customWidth="1"/>
    <col min="10507" max="10508" width="2.42578125" style="35" bestFit="1" customWidth="1"/>
    <col min="10509" max="10512" width="2" style="35" customWidth="1"/>
    <col min="10513" max="10513" width="22.7109375" style="35" customWidth="1"/>
    <col min="10514" max="10514" width="19.7109375" style="35" customWidth="1"/>
    <col min="10515" max="10515" width="7.28515625" style="35" customWidth="1"/>
    <col min="10516" max="10516" width="14" style="35" customWidth="1"/>
    <col min="10517" max="10517" width="10.5703125" style="35" customWidth="1"/>
    <col min="10518" max="10518" width="12.140625" style="35" customWidth="1"/>
    <col min="10519" max="10519" width="7.42578125" style="35" customWidth="1"/>
    <col min="10520" max="10520" width="16" style="35" customWidth="1"/>
    <col min="10521" max="10522" width="11.42578125" style="35"/>
    <col min="10523" max="10523" width="13.140625" style="35" bestFit="1" customWidth="1"/>
    <col min="10524" max="10752" width="11.42578125" style="35"/>
    <col min="10753" max="10753" width="5.28515625" style="35" customWidth="1"/>
    <col min="10754" max="10754" width="20.28515625" style="35" customWidth="1"/>
    <col min="10755" max="10755" width="11.140625" style="35" customWidth="1"/>
    <col min="10756" max="10756" width="23.28515625" style="35" customWidth="1"/>
    <col min="10757" max="10760" width="2" style="35" customWidth="1"/>
    <col min="10761" max="10761" width="2.42578125" style="35" bestFit="1" customWidth="1"/>
    <col min="10762" max="10762" width="2" style="35" customWidth="1"/>
    <col min="10763" max="10764" width="2.42578125" style="35" bestFit="1" customWidth="1"/>
    <col min="10765" max="10768" width="2" style="35" customWidth="1"/>
    <col min="10769" max="10769" width="22.7109375" style="35" customWidth="1"/>
    <col min="10770" max="10770" width="19.7109375" style="35" customWidth="1"/>
    <col min="10771" max="10771" width="7.28515625" style="35" customWidth="1"/>
    <col min="10772" max="10772" width="14" style="35" customWidth="1"/>
    <col min="10773" max="10773" width="10.5703125" style="35" customWidth="1"/>
    <col min="10774" max="10774" width="12.140625" style="35" customWidth="1"/>
    <col min="10775" max="10775" width="7.42578125" style="35" customWidth="1"/>
    <col min="10776" max="10776" width="16" style="35" customWidth="1"/>
    <col min="10777" max="10778" width="11.42578125" style="35"/>
    <col min="10779" max="10779" width="13.140625" style="35" bestFit="1" customWidth="1"/>
    <col min="10780" max="11008" width="11.42578125" style="35"/>
    <col min="11009" max="11009" width="5.28515625" style="35" customWidth="1"/>
    <col min="11010" max="11010" width="20.28515625" style="35" customWidth="1"/>
    <col min="11011" max="11011" width="11.140625" style="35" customWidth="1"/>
    <col min="11012" max="11012" width="23.28515625" style="35" customWidth="1"/>
    <col min="11013" max="11016" width="2" style="35" customWidth="1"/>
    <col min="11017" max="11017" width="2.42578125" style="35" bestFit="1" customWidth="1"/>
    <col min="11018" max="11018" width="2" style="35" customWidth="1"/>
    <col min="11019" max="11020" width="2.42578125" style="35" bestFit="1" customWidth="1"/>
    <col min="11021" max="11024" width="2" style="35" customWidth="1"/>
    <col min="11025" max="11025" width="22.7109375" style="35" customWidth="1"/>
    <col min="11026" max="11026" width="19.7109375" style="35" customWidth="1"/>
    <col min="11027" max="11027" width="7.28515625" style="35" customWidth="1"/>
    <col min="11028" max="11028" width="14" style="35" customWidth="1"/>
    <col min="11029" max="11029" width="10.5703125" style="35" customWidth="1"/>
    <col min="11030" max="11030" width="12.140625" style="35" customWidth="1"/>
    <col min="11031" max="11031" width="7.42578125" style="35" customWidth="1"/>
    <col min="11032" max="11032" width="16" style="35" customWidth="1"/>
    <col min="11033" max="11034" width="11.42578125" style="35"/>
    <col min="11035" max="11035" width="13.140625" style="35" bestFit="1" customWidth="1"/>
    <col min="11036" max="11264" width="11.42578125" style="35"/>
    <col min="11265" max="11265" width="5.28515625" style="35" customWidth="1"/>
    <col min="11266" max="11266" width="20.28515625" style="35" customWidth="1"/>
    <col min="11267" max="11267" width="11.140625" style="35" customWidth="1"/>
    <col min="11268" max="11268" width="23.28515625" style="35" customWidth="1"/>
    <col min="11269" max="11272" width="2" style="35" customWidth="1"/>
    <col min="11273" max="11273" width="2.42578125" style="35" bestFit="1" customWidth="1"/>
    <col min="11274" max="11274" width="2" style="35" customWidth="1"/>
    <col min="11275" max="11276" width="2.42578125" style="35" bestFit="1" customWidth="1"/>
    <col min="11277" max="11280" width="2" style="35" customWidth="1"/>
    <col min="11281" max="11281" width="22.7109375" style="35" customWidth="1"/>
    <col min="11282" max="11282" width="19.7109375" style="35" customWidth="1"/>
    <col min="11283" max="11283" width="7.28515625" style="35" customWidth="1"/>
    <col min="11284" max="11284" width="14" style="35" customWidth="1"/>
    <col min="11285" max="11285" width="10.5703125" style="35" customWidth="1"/>
    <col min="11286" max="11286" width="12.140625" style="35" customWidth="1"/>
    <col min="11287" max="11287" width="7.42578125" style="35" customWidth="1"/>
    <col min="11288" max="11288" width="16" style="35" customWidth="1"/>
    <col min="11289" max="11290" width="11.42578125" style="35"/>
    <col min="11291" max="11291" width="13.140625" style="35" bestFit="1" customWidth="1"/>
    <col min="11292" max="11520" width="11.42578125" style="35"/>
    <col min="11521" max="11521" width="5.28515625" style="35" customWidth="1"/>
    <col min="11522" max="11522" width="20.28515625" style="35" customWidth="1"/>
    <col min="11523" max="11523" width="11.140625" style="35" customWidth="1"/>
    <col min="11524" max="11524" width="23.28515625" style="35" customWidth="1"/>
    <col min="11525" max="11528" width="2" style="35" customWidth="1"/>
    <col min="11529" max="11529" width="2.42578125" style="35" bestFit="1" customWidth="1"/>
    <col min="11530" max="11530" width="2" style="35" customWidth="1"/>
    <col min="11531" max="11532" width="2.42578125" style="35" bestFit="1" customWidth="1"/>
    <col min="11533" max="11536" width="2" style="35" customWidth="1"/>
    <col min="11537" max="11537" width="22.7109375" style="35" customWidth="1"/>
    <col min="11538" max="11538" width="19.7109375" style="35" customWidth="1"/>
    <col min="11539" max="11539" width="7.28515625" style="35" customWidth="1"/>
    <col min="11540" max="11540" width="14" style="35" customWidth="1"/>
    <col min="11541" max="11541" width="10.5703125" style="35" customWidth="1"/>
    <col min="11542" max="11542" width="12.140625" style="35" customWidth="1"/>
    <col min="11543" max="11543" width="7.42578125" style="35" customWidth="1"/>
    <col min="11544" max="11544" width="16" style="35" customWidth="1"/>
    <col min="11545" max="11546" width="11.42578125" style="35"/>
    <col min="11547" max="11547" width="13.140625" style="35" bestFit="1" customWidth="1"/>
    <col min="11548" max="11776" width="11.42578125" style="35"/>
    <col min="11777" max="11777" width="5.28515625" style="35" customWidth="1"/>
    <col min="11778" max="11778" width="20.28515625" style="35" customWidth="1"/>
    <col min="11779" max="11779" width="11.140625" style="35" customWidth="1"/>
    <col min="11780" max="11780" width="23.28515625" style="35" customWidth="1"/>
    <col min="11781" max="11784" width="2" style="35" customWidth="1"/>
    <col min="11785" max="11785" width="2.42578125" style="35" bestFit="1" customWidth="1"/>
    <col min="11786" max="11786" width="2" style="35" customWidth="1"/>
    <col min="11787" max="11788" width="2.42578125" style="35" bestFit="1" customWidth="1"/>
    <col min="11789" max="11792" width="2" style="35" customWidth="1"/>
    <col min="11793" max="11793" width="22.7109375" style="35" customWidth="1"/>
    <col min="11794" max="11794" width="19.7109375" style="35" customWidth="1"/>
    <col min="11795" max="11795" width="7.28515625" style="35" customWidth="1"/>
    <col min="11796" max="11796" width="14" style="35" customWidth="1"/>
    <col min="11797" max="11797" width="10.5703125" style="35" customWidth="1"/>
    <col min="11798" max="11798" width="12.140625" style="35" customWidth="1"/>
    <col min="11799" max="11799" width="7.42578125" style="35" customWidth="1"/>
    <col min="11800" max="11800" width="16" style="35" customWidth="1"/>
    <col min="11801" max="11802" width="11.42578125" style="35"/>
    <col min="11803" max="11803" width="13.140625" style="35" bestFit="1" customWidth="1"/>
    <col min="11804" max="12032" width="11.42578125" style="35"/>
    <col min="12033" max="12033" width="5.28515625" style="35" customWidth="1"/>
    <col min="12034" max="12034" width="20.28515625" style="35" customWidth="1"/>
    <col min="12035" max="12035" width="11.140625" style="35" customWidth="1"/>
    <col min="12036" max="12036" width="23.28515625" style="35" customWidth="1"/>
    <col min="12037" max="12040" width="2" style="35" customWidth="1"/>
    <col min="12041" max="12041" width="2.42578125" style="35" bestFit="1" customWidth="1"/>
    <col min="12042" max="12042" width="2" style="35" customWidth="1"/>
    <col min="12043" max="12044" width="2.42578125" style="35" bestFit="1" customWidth="1"/>
    <col min="12045" max="12048" width="2" style="35" customWidth="1"/>
    <col min="12049" max="12049" width="22.7109375" style="35" customWidth="1"/>
    <col min="12050" max="12050" width="19.7109375" style="35" customWidth="1"/>
    <col min="12051" max="12051" width="7.28515625" style="35" customWidth="1"/>
    <col min="12052" max="12052" width="14" style="35" customWidth="1"/>
    <col min="12053" max="12053" width="10.5703125" style="35" customWidth="1"/>
    <col min="12054" max="12054" width="12.140625" style="35" customWidth="1"/>
    <col min="12055" max="12055" width="7.42578125" style="35" customWidth="1"/>
    <col min="12056" max="12056" width="16" style="35" customWidth="1"/>
    <col min="12057" max="12058" width="11.42578125" style="35"/>
    <col min="12059" max="12059" width="13.140625" style="35" bestFit="1" customWidth="1"/>
    <col min="12060" max="12288" width="11.42578125" style="35"/>
    <col min="12289" max="12289" width="5.28515625" style="35" customWidth="1"/>
    <col min="12290" max="12290" width="20.28515625" style="35" customWidth="1"/>
    <col min="12291" max="12291" width="11.140625" style="35" customWidth="1"/>
    <col min="12292" max="12292" width="23.28515625" style="35" customWidth="1"/>
    <col min="12293" max="12296" width="2" style="35" customWidth="1"/>
    <col min="12297" max="12297" width="2.42578125" style="35" bestFit="1" customWidth="1"/>
    <col min="12298" max="12298" width="2" style="35" customWidth="1"/>
    <col min="12299" max="12300" width="2.42578125" style="35" bestFit="1" customWidth="1"/>
    <col min="12301" max="12304" width="2" style="35" customWidth="1"/>
    <col min="12305" max="12305" width="22.7109375" style="35" customWidth="1"/>
    <col min="12306" max="12306" width="19.7109375" style="35" customWidth="1"/>
    <col min="12307" max="12307" width="7.28515625" style="35" customWidth="1"/>
    <col min="12308" max="12308" width="14" style="35" customWidth="1"/>
    <col min="12309" max="12309" width="10.5703125" style="35" customWidth="1"/>
    <col min="12310" max="12310" width="12.140625" style="35" customWidth="1"/>
    <col min="12311" max="12311" width="7.42578125" style="35" customWidth="1"/>
    <col min="12312" max="12312" width="16" style="35" customWidth="1"/>
    <col min="12313" max="12314" width="11.42578125" style="35"/>
    <col min="12315" max="12315" width="13.140625" style="35" bestFit="1" customWidth="1"/>
    <col min="12316" max="12544" width="11.42578125" style="35"/>
    <col min="12545" max="12545" width="5.28515625" style="35" customWidth="1"/>
    <col min="12546" max="12546" width="20.28515625" style="35" customWidth="1"/>
    <col min="12547" max="12547" width="11.140625" style="35" customWidth="1"/>
    <col min="12548" max="12548" width="23.28515625" style="35" customWidth="1"/>
    <col min="12549" max="12552" width="2" style="35" customWidth="1"/>
    <col min="12553" max="12553" width="2.42578125" style="35" bestFit="1" customWidth="1"/>
    <col min="12554" max="12554" width="2" style="35" customWidth="1"/>
    <col min="12555" max="12556" width="2.42578125" style="35" bestFit="1" customWidth="1"/>
    <col min="12557" max="12560" width="2" style="35" customWidth="1"/>
    <col min="12561" max="12561" width="22.7109375" style="35" customWidth="1"/>
    <col min="12562" max="12562" width="19.7109375" style="35" customWidth="1"/>
    <col min="12563" max="12563" width="7.28515625" style="35" customWidth="1"/>
    <col min="12564" max="12564" width="14" style="35" customWidth="1"/>
    <col min="12565" max="12565" width="10.5703125" style="35" customWidth="1"/>
    <col min="12566" max="12566" width="12.140625" style="35" customWidth="1"/>
    <col min="12567" max="12567" width="7.42578125" style="35" customWidth="1"/>
    <col min="12568" max="12568" width="16" style="35" customWidth="1"/>
    <col min="12569" max="12570" width="11.42578125" style="35"/>
    <col min="12571" max="12571" width="13.140625" style="35" bestFit="1" customWidth="1"/>
    <col min="12572" max="12800" width="11.42578125" style="35"/>
    <col min="12801" max="12801" width="5.28515625" style="35" customWidth="1"/>
    <col min="12802" max="12802" width="20.28515625" style="35" customWidth="1"/>
    <col min="12803" max="12803" width="11.140625" style="35" customWidth="1"/>
    <col min="12804" max="12804" width="23.28515625" style="35" customWidth="1"/>
    <col min="12805" max="12808" width="2" style="35" customWidth="1"/>
    <col min="12809" max="12809" width="2.42578125" style="35" bestFit="1" customWidth="1"/>
    <col min="12810" max="12810" width="2" style="35" customWidth="1"/>
    <col min="12811" max="12812" width="2.42578125" style="35" bestFit="1" customWidth="1"/>
    <col min="12813" max="12816" width="2" style="35" customWidth="1"/>
    <col min="12817" max="12817" width="22.7109375" style="35" customWidth="1"/>
    <col min="12818" max="12818" width="19.7109375" style="35" customWidth="1"/>
    <col min="12819" max="12819" width="7.28515625" style="35" customWidth="1"/>
    <col min="12820" max="12820" width="14" style="35" customWidth="1"/>
    <col min="12821" max="12821" width="10.5703125" style="35" customWidth="1"/>
    <col min="12822" max="12822" width="12.140625" style="35" customWidth="1"/>
    <col min="12823" max="12823" width="7.42578125" style="35" customWidth="1"/>
    <col min="12824" max="12824" width="16" style="35" customWidth="1"/>
    <col min="12825" max="12826" width="11.42578125" style="35"/>
    <col min="12827" max="12827" width="13.140625" style="35" bestFit="1" customWidth="1"/>
    <col min="12828" max="13056" width="11.42578125" style="35"/>
    <col min="13057" max="13057" width="5.28515625" style="35" customWidth="1"/>
    <col min="13058" max="13058" width="20.28515625" style="35" customWidth="1"/>
    <col min="13059" max="13059" width="11.140625" style="35" customWidth="1"/>
    <col min="13060" max="13060" width="23.28515625" style="35" customWidth="1"/>
    <col min="13061" max="13064" width="2" style="35" customWidth="1"/>
    <col min="13065" max="13065" width="2.42578125" style="35" bestFit="1" customWidth="1"/>
    <col min="13066" max="13066" width="2" style="35" customWidth="1"/>
    <col min="13067" max="13068" width="2.42578125" style="35" bestFit="1" customWidth="1"/>
    <col min="13069" max="13072" width="2" style="35" customWidth="1"/>
    <col min="13073" max="13073" width="22.7109375" style="35" customWidth="1"/>
    <col min="13074" max="13074" width="19.7109375" style="35" customWidth="1"/>
    <col min="13075" max="13075" width="7.28515625" style="35" customWidth="1"/>
    <col min="13076" max="13076" width="14" style="35" customWidth="1"/>
    <col min="13077" max="13077" width="10.5703125" style="35" customWidth="1"/>
    <col min="13078" max="13078" width="12.140625" style="35" customWidth="1"/>
    <col min="13079" max="13079" width="7.42578125" style="35" customWidth="1"/>
    <col min="13080" max="13080" width="16" style="35" customWidth="1"/>
    <col min="13081" max="13082" width="11.42578125" style="35"/>
    <col min="13083" max="13083" width="13.140625" style="35" bestFit="1" customWidth="1"/>
    <col min="13084" max="13312" width="11.42578125" style="35"/>
    <col min="13313" max="13313" width="5.28515625" style="35" customWidth="1"/>
    <col min="13314" max="13314" width="20.28515625" style="35" customWidth="1"/>
    <col min="13315" max="13315" width="11.140625" style="35" customWidth="1"/>
    <col min="13316" max="13316" width="23.28515625" style="35" customWidth="1"/>
    <col min="13317" max="13320" width="2" style="35" customWidth="1"/>
    <col min="13321" max="13321" width="2.42578125" style="35" bestFit="1" customWidth="1"/>
    <col min="13322" max="13322" width="2" style="35" customWidth="1"/>
    <col min="13323" max="13324" width="2.42578125" style="35" bestFit="1" customWidth="1"/>
    <col min="13325" max="13328" width="2" style="35" customWidth="1"/>
    <col min="13329" max="13329" width="22.7109375" style="35" customWidth="1"/>
    <col min="13330" max="13330" width="19.7109375" style="35" customWidth="1"/>
    <col min="13331" max="13331" width="7.28515625" style="35" customWidth="1"/>
    <col min="13332" max="13332" width="14" style="35" customWidth="1"/>
    <col min="13333" max="13333" width="10.5703125" style="35" customWidth="1"/>
    <col min="13334" max="13334" width="12.140625" style="35" customWidth="1"/>
    <col min="13335" max="13335" width="7.42578125" style="35" customWidth="1"/>
    <col min="13336" max="13336" width="16" style="35" customWidth="1"/>
    <col min="13337" max="13338" width="11.42578125" style="35"/>
    <col min="13339" max="13339" width="13.140625" style="35" bestFit="1" customWidth="1"/>
    <col min="13340" max="13568" width="11.42578125" style="35"/>
    <col min="13569" max="13569" width="5.28515625" style="35" customWidth="1"/>
    <col min="13570" max="13570" width="20.28515625" style="35" customWidth="1"/>
    <col min="13571" max="13571" width="11.140625" style="35" customWidth="1"/>
    <col min="13572" max="13572" width="23.28515625" style="35" customWidth="1"/>
    <col min="13573" max="13576" width="2" style="35" customWidth="1"/>
    <col min="13577" max="13577" width="2.42578125" style="35" bestFit="1" customWidth="1"/>
    <col min="13578" max="13578" width="2" style="35" customWidth="1"/>
    <col min="13579" max="13580" width="2.42578125" style="35" bestFit="1" customWidth="1"/>
    <col min="13581" max="13584" width="2" style="35" customWidth="1"/>
    <col min="13585" max="13585" width="22.7109375" style="35" customWidth="1"/>
    <col min="13586" max="13586" width="19.7109375" style="35" customWidth="1"/>
    <col min="13587" max="13587" width="7.28515625" style="35" customWidth="1"/>
    <col min="13588" max="13588" width="14" style="35" customWidth="1"/>
    <col min="13589" max="13589" width="10.5703125" style="35" customWidth="1"/>
    <col min="13590" max="13590" width="12.140625" style="35" customWidth="1"/>
    <col min="13591" max="13591" width="7.42578125" style="35" customWidth="1"/>
    <col min="13592" max="13592" width="16" style="35" customWidth="1"/>
    <col min="13593" max="13594" width="11.42578125" style="35"/>
    <col min="13595" max="13595" width="13.140625" style="35" bestFit="1" customWidth="1"/>
    <col min="13596" max="13824" width="11.42578125" style="35"/>
    <col min="13825" max="13825" width="5.28515625" style="35" customWidth="1"/>
    <col min="13826" max="13826" width="20.28515625" style="35" customWidth="1"/>
    <col min="13827" max="13827" width="11.140625" style="35" customWidth="1"/>
    <col min="13828" max="13828" width="23.28515625" style="35" customWidth="1"/>
    <col min="13829" max="13832" width="2" style="35" customWidth="1"/>
    <col min="13833" max="13833" width="2.42578125" style="35" bestFit="1" customWidth="1"/>
    <col min="13834" max="13834" width="2" style="35" customWidth="1"/>
    <col min="13835" max="13836" width="2.42578125" style="35" bestFit="1" customWidth="1"/>
    <col min="13837" max="13840" width="2" style="35" customWidth="1"/>
    <col min="13841" max="13841" width="22.7109375" style="35" customWidth="1"/>
    <col min="13842" max="13842" width="19.7109375" style="35" customWidth="1"/>
    <col min="13843" max="13843" width="7.28515625" style="35" customWidth="1"/>
    <col min="13844" max="13844" width="14" style="35" customWidth="1"/>
    <col min="13845" max="13845" width="10.5703125" style="35" customWidth="1"/>
    <col min="13846" max="13846" width="12.140625" style="35" customWidth="1"/>
    <col min="13847" max="13847" width="7.42578125" style="35" customWidth="1"/>
    <col min="13848" max="13848" width="16" style="35" customWidth="1"/>
    <col min="13849" max="13850" width="11.42578125" style="35"/>
    <col min="13851" max="13851" width="13.140625" style="35" bestFit="1" customWidth="1"/>
    <col min="13852" max="14080" width="11.42578125" style="35"/>
    <col min="14081" max="14081" width="5.28515625" style="35" customWidth="1"/>
    <col min="14082" max="14082" width="20.28515625" style="35" customWidth="1"/>
    <col min="14083" max="14083" width="11.140625" style="35" customWidth="1"/>
    <col min="14084" max="14084" width="23.28515625" style="35" customWidth="1"/>
    <col min="14085" max="14088" width="2" style="35" customWidth="1"/>
    <col min="14089" max="14089" width="2.42578125" style="35" bestFit="1" customWidth="1"/>
    <col min="14090" max="14090" width="2" style="35" customWidth="1"/>
    <col min="14091" max="14092" width="2.42578125" style="35" bestFit="1" customWidth="1"/>
    <col min="14093" max="14096" width="2" style="35" customWidth="1"/>
    <col min="14097" max="14097" width="22.7109375" style="35" customWidth="1"/>
    <col min="14098" max="14098" width="19.7109375" style="35" customWidth="1"/>
    <col min="14099" max="14099" width="7.28515625" style="35" customWidth="1"/>
    <col min="14100" max="14100" width="14" style="35" customWidth="1"/>
    <col min="14101" max="14101" width="10.5703125" style="35" customWidth="1"/>
    <col min="14102" max="14102" width="12.140625" style="35" customWidth="1"/>
    <col min="14103" max="14103" width="7.42578125" style="35" customWidth="1"/>
    <col min="14104" max="14104" width="16" style="35" customWidth="1"/>
    <col min="14105" max="14106" width="11.42578125" style="35"/>
    <col min="14107" max="14107" width="13.140625" style="35" bestFit="1" customWidth="1"/>
    <col min="14108" max="14336" width="11.42578125" style="35"/>
    <col min="14337" max="14337" width="5.28515625" style="35" customWidth="1"/>
    <col min="14338" max="14338" width="20.28515625" style="35" customWidth="1"/>
    <col min="14339" max="14339" width="11.140625" style="35" customWidth="1"/>
    <col min="14340" max="14340" width="23.28515625" style="35" customWidth="1"/>
    <col min="14341" max="14344" width="2" style="35" customWidth="1"/>
    <col min="14345" max="14345" width="2.42578125" style="35" bestFit="1" customWidth="1"/>
    <col min="14346" max="14346" width="2" style="35" customWidth="1"/>
    <col min="14347" max="14348" width="2.42578125" style="35" bestFit="1" customWidth="1"/>
    <col min="14349" max="14352" width="2" style="35" customWidth="1"/>
    <col min="14353" max="14353" width="22.7109375" style="35" customWidth="1"/>
    <col min="14354" max="14354" width="19.7109375" style="35" customWidth="1"/>
    <col min="14355" max="14355" width="7.28515625" style="35" customWidth="1"/>
    <col min="14356" max="14356" width="14" style="35" customWidth="1"/>
    <col min="14357" max="14357" width="10.5703125" style="35" customWidth="1"/>
    <col min="14358" max="14358" width="12.140625" style="35" customWidth="1"/>
    <col min="14359" max="14359" width="7.42578125" style="35" customWidth="1"/>
    <col min="14360" max="14360" width="16" style="35" customWidth="1"/>
    <col min="14361" max="14362" width="11.42578125" style="35"/>
    <col min="14363" max="14363" width="13.140625" style="35" bestFit="1" customWidth="1"/>
    <col min="14364" max="14592" width="11.42578125" style="35"/>
    <col min="14593" max="14593" width="5.28515625" style="35" customWidth="1"/>
    <col min="14594" max="14594" width="20.28515625" style="35" customWidth="1"/>
    <col min="14595" max="14595" width="11.140625" style="35" customWidth="1"/>
    <col min="14596" max="14596" width="23.28515625" style="35" customWidth="1"/>
    <col min="14597" max="14600" width="2" style="35" customWidth="1"/>
    <col min="14601" max="14601" width="2.42578125" style="35" bestFit="1" customWidth="1"/>
    <col min="14602" max="14602" width="2" style="35" customWidth="1"/>
    <col min="14603" max="14604" width="2.42578125" style="35" bestFit="1" customWidth="1"/>
    <col min="14605" max="14608" width="2" style="35" customWidth="1"/>
    <col min="14609" max="14609" width="22.7109375" style="35" customWidth="1"/>
    <col min="14610" max="14610" width="19.7109375" style="35" customWidth="1"/>
    <col min="14611" max="14611" width="7.28515625" style="35" customWidth="1"/>
    <col min="14612" max="14612" width="14" style="35" customWidth="1"/>
    <col min="14613" max="14613" width="10.5703125" style="35" customWidth="1"/>
    <col min="14614" max="14614" width="12.140625" style="35" customWidth="1"/>
    <col min="14615" max="14615" width="7.42578125" style="35" customWidth="1"/>
    <col min="14616" max="14616" width="16" style="35" customWidth="1"/>
    <col min="14617" max="14618" width="11.42578125" style="35"/>
    <col min="14619" max="14619" width="13.140625" style="35" bestFit="1" customWidth="1"/>
    <col min="14620" max="14848" width="11.42578125" style="35"/>
    <col min="14849" max="14849" width="5.28515625" style="35" customWidth="1"/>
    <col min="14850" max="14850" width="20.28515625" style="35" customWidth="1"/>
    <col min="14851" max="14851" width="11.140625" style="35" customWidth="1"/>
    <col min="14852" max="14852" width="23.28515625" style="35" customWidth="1"/>
    <col min="14853" max="14856" width="2" style="35" customWidth="1"/>
    <col min="14857" max="14857" width="2.42578125" style="35" bestFit="1" customWidth="1"/>
    <col min="14858" max="14858" width="2" style="35" customWidth="1"/>
    <col min="14859" max="14860" width="2.42578125" style="35" bestFit="1" customWidth="1"/>
    <col min="14861" max="14864" width="2" style="35" customWidth="1"/>
    <col min="14865" max="14865" width="22.7109375" style="35" customWidth="1"/>
    <col min="14866" max="14866" width="19.7109375" style="35" customWidth="1"/>
    <col min="14867" max="14867" width="7.28515625" style="35" customWidth="1"/>
    <col min="14868" max="14868" width="14" style="35" customWidth="1"/>
    <col min="14869" max="14869" width="10.5703125" style="35" customWidth="1"/>
    <col min="14870" max="14870" width="12.140625" style="35" customWidth="1"/>
    <col min="14871" max="14871" width="7.42578125" style="35" customWidth="1"/>
    <col min="14872" max="14872" width="16" style="35" customWidth="1"/>
    <col min="14873" max="14874" width="11.42578125" style="35"/>
    <col min="14875" max="14875" width="13.140625" style="35" bestFit="1" customWidth="1"/>
    <col min="14876" max="15104" width="11.42578125" style="35"/>
    <col min="15105" max="15105" width="5.28515625" style="35" customWidth="1"/>
    <col min="15106" max="15106" width="20.28515625" style="35" customWidth="1"/>
    <col min="15107" max="15107" width="11.140625" style="35" customWidth="1"/>
    <col min="15108" max="15108" width="23.28515625" style="35" customWidth="1"/>
    <col min="15109" max="15112" width="2" style="35" customWidth="1"/>
    <col min="15113" max="15113" width="2.42578125" style="35" bestFit="1" customWidth="1"/>
    <col min="15114" max="15114" width="2" style="35" customWidth="1"/>
    <col min="15115" max="15116" width="2.42578125" style="35" bestFit="1" customWidth="1"/>
    <col min="15117" max="15120" width="2" style="35" customWidth="1"/>
    <col min="15121" max="15121" width="22.7109375" style="35" customWidth="1"/>
    <col min="15122" max="15122" width="19.7109375" style="35" customWidth="1"/>
    <col min="15123" max="15123" width="7.28515625" style="35" customWidth="1"/>
    <col min="15124" max="15124" width="14" style="35" customWidth="1"/>
    <col min="15125" max="15125" width="10.5703125" style="35" customWidth="1"/>
    <col min="15126" max="15126" width="12.140625" style="35" customWidth="1"/>
    <col min="15127" max="15127" width="7.42578125" style="35" customWidth="1"/>
    <col min="15128" max="15128" width="16" style="35" customWidth="1"/>
    <col min="15129" max="15130" width="11.42578125" style="35"/>
    <col min="15131" max="15131" width="13.140625" style="35" bestFit="1" customWidth="1"/>
    <col min="15132" max="15360" width="11.42578125" style="35"/>
    <col min="15361" max="15361" width="5.28515625" style="35" customWidth="1"/>
    <col min="15362" max="15362" width="20.28515625" style="35" customWidth="1"/>
    <col min="15363" max="15363" width="11.140625" style="35" customWidth="1"/>
    <col min="15364" max="15364" width="23.28515625" style="35" customWidth="1"/>
    <col min="15365" max="15368" width="2" style="35" customWidth="1"/>
    <col min="15369" max="15369" width="2.42578125" style="35" bestFit="1" customWidth="1"/>
    <col min="15370" max="15370" width="2" style="35" customWidth="1"/>
    <col min="15371" max="15372" width="2.42578125" style="35" bestFit="1" customWidth="1"/>
    <col min="15373" max="15376" width="2" style="35" customWidth="1"/>
    <col min="15377" max="15377" width="22.7109375" style="35" customWidth="1"/>
    <col min="15378" max="15378" width="19.7109375" style="35" customWidth="1"/>
    <col min="15379" max="15379" width="7.28515625" style="35" customWidth="1"/>
    <col min="15380" max="15380" width="14" style="35" customWidth="1"/>
    <col min="15381" max="15381" width="10.5703125" style="35" customWidth="1"/>
    <col min="15382" max="15382" width="12.140625" style="35" customWidth="1"/>
    <col min="15383" max="15383" width="7.42578125" style="35" customWidth="1"/>
    <col min="15384" max="15384" width="16" style="35" customWidth="1"/>
    <col min="15385" max="15386" width="11.42578125" style="35"/>
    <col min="15387" max="15387" width="13.140625" style="35" bestFit="1" customWidth="1"/>
    <col min="15388" max="15616" width="11.42578125" style="35"/>
    <col min="15617" max="15617" width="5.28515625" style="35" customWidth="1"/>
    <col min="15618" max="15618" width="20.28515625" style="35" customWidth="1"/>
    <col min="15619" max="15619" width="11.140625" style="35" customWidth="1"/>
    <col min="15620" max="15620" width="23.28515625" style="35" customWidth="1"/>
    <col min="15621" max="15624" width="2" style="35" customWidth="1"/>
    <col min="15625" max="15625" width="2.42578125" style="35" bestFit="1" customWidth="1"/>
    <col min="15626" max="15626" width="2" style="35" customWidth="1"/>
    <col min="15627" max="15628" width="2.42578125" style="35" bestFit="1" customWidth="1"/>
    <col min="15629" max="15632" width="2" style="35" customWidth="1"/>
    <col min="15633" max="15633" width="22.7109375" style="35" customWidth="1"/>
    <col min="15634" max="15634" width="19.7109375" style="35" customWidth="1"/>
    <col min="15635" max="15635" width="7.28515625" style="35" customWidth="1"/>
    <col min="15636" max="15636" width="14" style="35" customWidth="1"/>
    <col min="15637" max="15637" width="10.5703125" style="35" customWidth="1"/>
    <col min="15638" max="15638" width="12.140625" style="35" customWidth="1"/>
    <col min="15639" max="15639" width="7.42578125" style="35" customWidth="1"/>
    <col min="15640" max="15640" width="16" style="35" customWidth="1"/>
    <col min="15641" max="15642" width="11.42578125" style="35"/>
    <col min="15643" max="15643" width="13.140625" style="35" bestFit="1" customWidth="1"/>
    <col min="15644" max="15872" width="11.42578125" style="35"/>
    <col min="15873" max="15873" width="5.28515625" style="35" customWidth="1"/>
    <col min="15874" max="15874" width="20.28515625" style="35" customWidth="1"/>
    <col min="15875" max="15875" width="11.140625" style="35" customWidth="1"/>
    <col min="15876" max="15876" width="23.28515625" style="35" customWidth="1"/>
    <col min="15877" max="15880" width="2" style="35" customWidth="1"/>
    <col min="15881" max="15881" width="2.42578125" style="35" bestFit="1" customWidth="1"/>
    <col min="15882" max="15882" width="2" style="35" customWidth="1"/>
    <col min="15883" max="15884" width="2.42578125" style="35" bestFit="1" customWidth="1"/>
    <col min="15885" max="15888" width="2" style="35" customWidth="1"/>
    <col min="15889" max="15889" width="22.7109375" style="35" customWidth="1"/>
    <col min="15890" max="15890" width="19.7109375" style="35" customWidth="1"/>
    <col min="15891" max="15891" width="7.28515625" style="35" customWidth="1"/>
    <col min="15892" max="15892" width="14" style="35" customWidth="1"/>
    <col min="15893" max="15893" width="10.5703125" style="35" customWidth="1"/>
    <col min="15894" max="15894" width="12.140625" style="35" customWidth="1"/>
    <col min="15895" max="15895" width="7.42578125" style="35" customWidth="1"/>
    <col min="15896" max="15896" width="16" style="35" customWidth="1"/>
    <col min="15897" max="15898" width="11.42578125" style="35"/>
    <col min="15899" max="15899" width="13.140625" style="35" bestFit="1" customWidth="1"/>
    <col min="15900" max="16128" width="11.42578125" style="35"/>
    <col min="16129" max="16129" width="5.28515625" style="35" customWidth="1"/>
    <col min="16130" max="16130" width="20.28515625" style="35" customWidth="1"/>
    <col min="16131" max="16131" width="11.140625" style="35" customWidth="1"/>
    <col min="16132" max="16132" width="23.28515625" style="35" customWidth="1"/>
    <col min="16133" max="16136" width="2" style="35" customWidth="1"/>
    <col min="16137" max="16137" width="2.42578125" style="35" bestFit="1" customWidth="1"/>
    <col min="16138" max="16138" width="2" style="35" customWidth="1"/>
    <col min="16139" max="16140" width="2.42578125" style="35" bestFit="1" customWidth="1"/>
    <col min="16141" max="16144" width="2" style="35" customWidth="1"/>
    <col min="16145" max="16145" width="22.7109375" style="35" customWidth="1"/>
    <col min="16146" max="16146" width="19.7109375" style="35" customWidth="1"/>
    <col min="16147" max="16147" width="7.28515625" style="35" customWidth="1"/>
    <col min="16148" max="16148" width="14" style="35" customWidth="1"/>
    <col min="16149" max="16149" width="10.5703125" style="35" customWidth="1"/>
    <col min="16150" max="16150" width="12.140625" style="35" customWidth="1"/>
    <col min="16151" max="16151" width="7.42578125" style="35" customWidth="1"/>
    <col min="16152" max="16152" width="16" style="35" customWidth="1"/>
    <col min="16153" max="16154" width="11.42578125" style="35"/>
    <col min="16155" max="16155" width="13.140625" style="35" bestFit="1" customWidth="1"/>
    <col min="16156" max="16384" width="11.42578125" style="35"/>
  </cols>
  <sheetData>
    <row r="1" spans="1:21" s="34" customFormat="1" ht="18" customHeight="1" x14ac:dyDescent="0.2">
      <c r="A1" s="480" t="s">
        <v>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2"/>
    </row>
    <row r="2" spans="1:21" s="34" customFormat="1" ht="17.25" customHeight="1" x14ac:dyDescent="0.2">
      <c r="A2" s="483" t="s">
        <v>187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84"/>
    </row>
    <row r="3" spans="1:21" s="34" customFormat="1" ht="18.75" customHeight="1" x14ac:dyDescent="0.2">
      <c r="A3" s="483" t="s">
        <v>348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84"/>
    </row>
    <row r="4" spans="1:21" x14ac:dyDescent="0.2">
      <c r="A4" s="485" t="s">
        <v>146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4"/>
      <c r="U4" s="486"/>
    </row>
    <row r="5" spans="1:21" ht="11.25" customHeight="1" x14ac:dyDescent="0.2">
      <c r="A5" s="487" t="s">
        <v>147</v>
      </c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9"/>
      <c r="U5" s="490"/>
    </row>
    <row r="6" spans="1:21" s="36" customFormat="1" ht="18" customHeight="1" x14ac:dyDescent="0.25">
      <c r="A6" s="376" t="s">
        <v>5</v>
      </c>
      <c r="B6" s="359" t="s">
        <v>177</v>
      </c>
      <c r="C6" s="359" t="s">
        <v>127</v>
      </c>
      <c r="D6" s="354" t="s">
        <v>6</v>
      </c>
      <c r="E6" s="359" t="s">
        <v>7</v>
      </c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 t="s">
        <v>128</v>
      </c>
      <c r="R6" s="359" t="s">
        <v>339</v>
      </c>
      <c r="S6" s="354" t="s">
        <v>345</v>
      </c>
      <c r="T6" s="354"/>
      <c r="U6" s="354"/>
    </row>
    <row r="7" spans="1:21" ht="11.25" customHeight="1" x14ac:dyDescent="0.2">
      <c r="A7" s="376"/>
      <c r="B7" s="359"/>
      <c r="C7" s="359"/>
      <c r="D7" s="354"/>
      <c r="E7" s="167" t="s">
        <v>8</v>
      </c>
      <c r="F7" s="167" t="s">
        <v>9</v>
      </c>
      <c r="G7" s="167" t="s">
        <v>10</v>
      </c>
      <c r="H7" s="167" t="s">
        <v>11</v>
      </c>
      <c r="I7" s="167" t="s">
        <v>10</v>
      </c>
      <c r="J7" s="167" t="s">
        <v>12</v>
      </c>
      <c r="K7" s="167" t="s">
        <v>12</v>
      </c>
      <c r="L7" s="167" t="s">
        <v>11</v>
      </c>
      <c r="M7" s="167" t="s">
        <v>13</v>
      </c>
      <c r="N7" s="167" t="s">
        <v>14</v>
      </c>
      <c r="O7" s="167" t="s">
        <v>15</v>
      </c>
      <c r="P7" s="167" t="s">
        <v>16</v>
      </c>
      <c r="Q7" s="359"/>
      <c r="R7" s="359"/>
      <c r="S7" s="168" t="s">
        <v>17</v>
      </c>
      <c r="T7" s="168" t="s">
        <v>18</v>
      </c>
      <c r="U7" s="169" t="s">
        <v>19</v>
      </c>
    </row>
    <row r="8" spans="1:21" ht="13.5" customHeight="1" x14ac:dyDescent="0.2">
      <c r="A8" s="37">
        <v>4</v>
      </c>
      <c r="B8" s="355" t="s">
        <v>149</v>
      </c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7"/>
    </row>
    <row r="9" spans="1:21" ht="157.5" customHeight="1" thickBot="1" x14ac:dyDescent="0.25">
      <c r="A9" s="138"/>
      <c r="B9" s="170" t="s">
        <v>150</v>
      </c>
      <c r="C9" s="170" t="s">
        <v>21</v>
      </c>
      <c r="D9" s="176" t="s">
        <v>151</v>
      </c>
      <c r="E9" s="171"/>
      <c r="F9" s="172" t="s">
        <v>186</v>
      </c>
      <c r="G9" s="172" t="s">
        <v>186</v>
      </c>
      <c r="H9" s="172" t="s">
        <v>186</v>
      </c>
      <c r="I9" s="172" t="s">
        <v>186</v>
      </c>
      <c r="J9" s="172" t="s">
        <v>186</v>
      </c>
      <c r="K9" s="172" t="s">
        <v>186</v>
      </c>
      <c r="L9" s="172" t="s">
        <v>186</v>
      </c>
      <c r="M9" s="172" t="s">
        <v>186</v>
      </c>
      <c r="N9" s="172" t="s">
        <v>186</v>
      </c>
      <c r="O9" s="173"/>
      <c r="P9" s="173"/>
      <c r="Q9" s="170" t="s">
        <v>22</v>
      </c>
      <c r="R9" s="173" t="s">
        <v>154</v>
      </c>
      <c r="S9" s="174">
        <v>1</v>
      </c>
      <c r="T9" s="175">
        <f>U9/9</f>
        <v>2180.6111111111113</v>
      </c>
      <c r="U9" s="140">
        <v>19625.5</v>
      </c>
    </row>
    <row r="10" spans="1:21" ht="18.75" customHeight="1" thickBot="1" x14ac:dyDescent="0.25">
      <c r="A10" s="361" t="s">
        <v>346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3"/>
      <c r="T10" s="364">
        <f>U9</f>
        <v>19625.5</v>
      </c>
      <c r="U10" s="365"/>
    </row>
    <row r="11" spans="1:21" x14ac:dyDescent="0.2">
      <c r="A11" s="477" t="s">
        <v>146</v>
      </c>
      <c r="B11" s="477"/>
      <c r="C11" s="477"/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8"/>
      <c r="U11" s="478"/>
    </row>
    <row r="12" spans="1:21" ht="17.25" customHeight="1" x14ac:dyDescent="0.2">
      <c r="A12" s="479" t="s">
        <v>148</v>
      </c>
      <c r="B12" s="477"/>
      <c r="C12" s="477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7"/>
      <c r="T12" s="478"/>
      <c r="U12" s="478"/>
    </row>
    <row r="13" spans="1:21" s="36" customFormat="1" ht="18" customHeight="1" x14ac:dyDescent="0.25">
      <c r="A13" s="358" t="s">
        <v>5</v>
      </c>
      <c r="B13" s="359" t="s">
        <v>177</v>
      </c>
      <c r="C13" s="359" t="s">
        <v>127</v>
      </c>
      <c r="D13" s="354" t="s">
        <v>6</v>
      </c>
      <c r="E13" s="359" t="s">
        <v>7</v>
      </c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 t="s">
        <v>128</v>
      </c>
      <c r="R13" s="359" t="s">
        <v>339</v>
      </c>
      <c r="S13" s="354" t="s">
        <v>345</v>
      </c>
      <c r="T13" s="354"/>
      <c r="U13" s="354"/>
    </row>
    <row r="14" spans="1:21" ht="18" customHeight="1" x14ac:dyDescent="0.2">
      <c r="A14" s="358"/>
      <c r="B14" s="360"/>
      <c r="C14" s="360"/>
      <c r="D14" s="354"/>
      <c r="E14" s="166" t="s">
        <v>8</v>
      </c>
      <c r="F14" s="166" t="s">
        <v>9</v>
      </c>
      <c r="G14" s="166" t="s">
        <v>10</v>
      </c>
      <c r="H14" s="166" t="s">
        <v>11</v>
      </c>
      <c r="I14" s="166" t="s">
        <v>10</v>
      </c>
      <c r="J14" s="166" t="s">
        <v>12</v>
      </c>
      <c r="K14" s="166" t="s">
        <v>12</v>
      </c>
      <c r="L14" s="166" t="s">
        <v>11</v>
      </c>
      <c r="M14" s="166" t="s">
        <v>13</v>
      </c>
      <c r="N14" s="166" t="s">
        <v>14</v>
      </c>
      <c r="O14" s="166" t="s">
        <v>15</v>
      </c>
      <c r="P14" s="166" t="s">
        <v>16</v>
      </c>
      <c r="Q14" s="359"/>
      <c r="R14" s="359"/>
      <c r="S14" s="168" t="s">
        <v>17</v>
      </c>
      <c r="T14" s="168" t="s">
        <v>18</v>
      </c>
      <c r="U14" s="169" t="s">
        <v>19</v>
      </c>
    </row>
    <row r="15" spans="1:21" ht="16.5" customHeight="1" x14ac:dyDescent="0.2">
      <c r="A15" s="37">
        <v>4</v>
      </c>
      <c r="B15" s="377" t="s">
        <v>141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9"/>
    </row>
    <row r="16" spans="1:21" ht="73.5" customHeight="1" x14ac:dyDescent="0.2">
      <c r="A16" s="380"/>
      <c r="B16" s="352" t="s">
        <v>150</v>
      </c>
      <c r="C16" s="352" t="s">
        <v>21</v>
      </c>
      <c r="D16" s="181" t="s">
        <v>152</v>
      </c>
      <c r="E16" s="53"/>
      <c r="F16" s="62" t="s">
        <v>186</v>
      </c>
      <c r="G16" s="62" t="s">
        <v>186</v>
      </c>
      <c r="H16" s="62" t="s">
        <v>186</v>
      </c>
      <c r="I16" s="62" t="s">
        <v>186</v>
      </c>
      <c r="J16" s="62" t="s">
        <v>186</v>
      </c>
      <c r="K16" s="62" t="s">
        <v>186</v>
      </c>
      <c r="L16" s="62" t="s">
        <v>186</v>
      </c>
      <c r="M16" s="62" t="s">
        <v>186</v>
      </c>
      <c r="N16" s="62" t="s">
        <v>186</v>
      </c>
      <c r="O16" s="52"/>
      <c r="P16" s="52"/>
      <c r="Q16" s="177" t="s">
        <v>87</v>
      </c>
      <c r="R16" s="139" t="s">
        <v>155</v>
      </c>
      <c r="S16" s="40">
        <v>1</v>
      </c>
      <c r="T16" s="41">
        <f>U16/9</f>
        <v>1033.7777777777778</v>
      </c>
      <c r="U16" s="42">
        <v>9304</v>
      </c>
    </row>
    <row r="17" spans="1:21" ht="73.5" customHeight="1" x14ac:dyDescent="0.2">
      <c r="A17" s="381"/>
      <c r="B17" s="352"/>
      <c r="C17" s="352"/>
      <c r="D17" s="181" t="s">
        <v>153</v>
      </c>
      <c r="E17" s="62" t="s">
        <v>186</v>
      </c>
      <c r="F17" s="62" t="s">
        <v>186</v>
      </c>
      <c r="G17" s="62" t="s">
        <v>186</v>
      </c>
      <c r="H17" s="62" t="s">
        <v>186</v>
      </c>
      <c r="I17" s="62" t="s">
        <v>186</v>
      </c>
      <c r="J17" s="62" t="s">
        <v>186</v>
      </c>
      <c r="K17" s="62" t="s">
        <v>186</v>
      </c>
      <c r="L17" s="62" t="s">
        <v>186</v>
      </c>
      <c r="M17" s="62" t="s">
        <v>186</v>
      </c>
      <c r="N17" s="62" t="s">
        <v>186</v>
      </c>
      <c r="O17" s="62" t="s">
        <v>186</v>
      </c>
      <c r="P17" s="62" t="s">
        <v>186</v>
      </c>
      <c r="Q17" s="177" t="s">
        <v>87</v>
      </c>
      <c r="R17" s="139" t="s">
        <v>156</v>
      </c>
      <c r="S17" s="40">
        <v>1</v>
      </c>
      <c r="T17" s="41">
        <f>U17/12</f>
        <v>1723.1666666666667</v>
      </c>
      <c r="U17" s="42">
        <v>20678</v>
      </c>
    </row>
    <row r="18" spans="1:21" ht="73.5" customHeight="1" x14ac:dyDescent="0.2">
      <c r="A18" s="381"/>
      <c r="B18" s="352"/>
      <c r="C18" s="352"/>
      <c r="D18" s="181" t="s">
        <v>188</v>
      </c>
      <c r="E18" s="62" t="s">
        <v>186</v>
      </c>
      <c r="F18" s="62" t="s">
        <v>186</v>
      </c>
      <c r="G18" s="62" t="s">
        <v>186</v>
      </c>
      <c r="H18" s="62" t="s">
        <v>186</v>
      </c>
      <c r="I18" s="62" t="s">
        <v>186</v>
      </c>
      <c r="J18" s="62" t="s">
        <v>186</v>
      </c>
      <c r="K18" s="62" t="s">
        <v>186</v>
      </c>
      <c r="L18" s="62" t="s">
        <v>186</v>
      </c>
      <c r="M18" s="62" t="s">
        <v>186</v>
      </c>
      <c r="N18" s="62" t="s">
        <v>186</v>
      </c>
      <c r="O18" s="62" t="s">
        <v>186</v>
      </c>
      <c r="P18" s="62" t="s">
        <v>186</v>
      </c>
      <c r="Q18" s="177" t="s">
        <v>87</v>
      </c>
      <c r="R18" s="139" t="s">
        <v>156</v>
      </c>
      <c r="S18" s="40">
        <v>1</v>
      </c>
      <c r="T18" s="41">
        <f>U18/12</f>
        <v>505.47166666666664</v>
      </c>
      <c r="U18" s="42">
        <v>6065.66</v>
      </c>
    </row>
    <row r="19" spans="1:21" ht="79.5" customHeight="1" thickBot="1" x14ac:dyDescent="0.25">
      <c r="A19" s="381"/>
      <c r="B19" s="353"/>
      <c r="C19" s="353"/>
      <c r="D19" s="180" t="s">
        <v>193</v>
      </c>
      <c r="E19" s="178" t="s">
        <v>35</v>
      </c>
      <c r="F19" s="178" t="s">
        <v>35</v>
      </c>
      <c r="G19" s="172" t="s">
        <v>35</v>
      </c>
      <c r="H19" s="172" t="s">
        <v>35</v>
      </c>
      <c r="I19" s="172" t="s">
        <v>35</v>
      </c>
      <c r="J19" s="172"/>
      <c r="K19" s="172"/>
      <c r="L19" s="172"/>
      <c r="M19" s="172"/>
      <c r="N19" s="172"/>
      <c r="O19" s="172"/>
      <c r="P19" s="172"/>
      <c r="Q19" s="179" t="s">
        <v>87</v>
      </c>
      <c r="R19" s="170" t="s">
        <v>156</v>
      </c>
      <c r="S19" s="40">
        <v>1</v>
      </c>
      <c r="T19" s="41">
        <f>U19/5</f>
        <v>1213.1320000000001</v>
      </c>
      <c r="U19" s="42">
        <v>6065.66</v>
      </c>
    </row>
    <row r="20" spans="1:21" ht="18.75" customHeight="1" thickBot="1" x14ac:dyDescent="0.25">
      <c r="A20" s="366" t="s">
        <v>347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8"/>
      <c r="T20" s="369">
        <f>SUM(U16:U19)</f>
        <v>42113.320000000007</v>
      </c>
      <c r="U20" s="370"/>
    </row>
    <row r="21" spans="1:21" ht="21" customHeight="1" thickBot="1" x14ac:dyDescent="0.25">
      <c r="A21" s="371" t="s">
        <v>343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3"/>
      <c r="T21" s="374">
        <f>T20+T10</f>
        <v>61738.820000000007</v>
      </c>
      <c r="U21" s="375"/>
    </row>
  </sheetData>
  <mergeCells count="30">
    <mergeCell ref="A20:S20"/>
    <mergeCell ref="T20:U20"/>
    <mergeCell ref="A21:S21"/>
    <mergeCell ref="T21:U21"/>
    <mergeCell ref="A1:U1"/>
    <mergeCell ref="A2:U2"/>
    <mergeCell ref="A3:U3"/>
    <mergeCell ref="A6:A7"/>
    <mergeCell ref="B6:B7"/>
    <mergeCell ref="C6:C7"/>
    <mergeCell ref="D6:D7"/>
    <mergeCell ref="E6:P6"/>
    <mergeCell ref="Q6:Q7"/>
    <mergeCell ref="R6:R7"/>
    <mergeCell ref="B15:U15"/>
    <mergeCell ref="A16:A19"/>
    <mergeCell ref="B16:B19"/>
    <mergeCell ref="C16:C19"/>
    <mergeCell ref="S6:U6"/>
    <mergeCell ref="B8:U8"/>
    <mergeCell ref="A13:A14"/>
    <mergeCell ref="B13:B14"/>
    <mergeCell ref="C13:C14"/>
    <mergeCell ref="D13:D14"/>
    <mergeCell ref="E13:P13"/>
    <mergeCell ref="Q13:Q14"/>
    <mergeCell ref="R13:R14"/>
    <mergeCell ref="S13:U13"/>
    <mergeCell ref="A10:S10"/>
    <mergeCell ref="T10:U10"/>
  </mergeCells>
  <printOptions horizontalCentered="1" verticalCentered="1"/>
  <pageMargins left="0.25" right="0.25" top="0.75" bottom="0.75" header="0.3" footer="0.3"/>
  <pageSetup paperSize="5" scale="7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V19"/>
  <sheetViews>
    <sheetView topLeftCell="A10" zoomScaleNormal="100" zoomScalePageLayoutView="90" workbookViewId="0">
      <selection activeCell="T19" sqref="T19:U19"/>
    </sheetView>
  </sheetViews>
  <sheetFormatPr baseColWidth="10" defaultRowHeight="12.75" x14ac:dyDescent="0.2"/>
  <cols>
    <col min="1" max="1" width="5.28515625" style="35" customWidth="1"/>
    <col min="2" max="2" width="28.5703125" style="44" customWidth="1"/>
    <col min="3" max="4" width="21.42578125" style="45" customWidth="1"/>
    <col min="5" max="5" width="2.140625" style="45" customWidth="1"/>
    <col min="6" max="6" width="2" style="45" customWidth="1"/>
    <col min="7" max="7" width="2.42578125" style="45" customWidth="1"/>
    <col min="8" max="8" width="2" style="45" customWidth="1"/>
    <col min="9" max="9" width="2.42578125" style="45" customWidth="1"/>
    <col min="10" max="10" width="2" style="45" customWidth="1"/>
    <col min="11" max="12" width="2.42578125" style="45" bestFit="1" customWidth="1"/>
    <col min="13" max="14" width="2" style="45" customWidth="1"/>
    <col min="15" max="15" width="2.5703125" style="45" customWidth="1"/>
    <col min="16" max="16" width="3" style="45" customWidth="1"/>
    <col min="17" max="17" width="12.5703125" style="35" bestFit="1" customWidth="1"/>
    <col min="18" max="18" width="13.5703125" style="45" bestFit="1" customWidth="1"/>
    <col min="19" max="19" width="7.42578125" style="35" bestFit="1" customWidth="1"/>
    <col min="20" max="20" width="9.5703125" style="35" bestFit="1" customWidth="1"/>
    <col min="21" max="21" width="10.5703125" style="35" bestFit="1" customWidth="1"/>
    <col min="22" max="175" width="11.42578125" style="35"/>
    <col min="176" max="176" width="5.28515625" style="35" customWidth="1"/>
    <col min="177" max="177" width="26" style="35" customWidth="1"/>
    <col min="178" max="178" width="11.140625" style="35" customWidth="1"/>
    <col min="179" max="179" width="21.42578125" style="35" customWidth="1"/>
    <col min="180" max="180" width="2.140625" style="35" customWidth="1"/>
    <col min="181" max="183" width="2" style="35" customWidth="1"/>
    <col min="184" max="184" width="2.42578125" style="35" customWidth="1"/>
    <col min="185" max="185" width="2" style="35" customWidth="1"/>
    <col min="186" max="187" width="2.42578125" style="35" bestFit="1" customWidth="1"/>
    <col min="188" max="191" width="2" style="35" customWidth="1"/>
    <col min="192" max="192" width="11.7109375" style="35" customWidth="1"/>
    <col min="193" max="193" width="12.140625" style="35" customWidth="1"/>
    <col min="194" max="194" width="12.85546875" style="35" customWidth="1"/>
    <col min="195" max="195" width="14" style="35" customWidth="1"/>
    <col min="196" max="196" width="10.5703125" style="35" customWidth="1"/>
    <col min="197" max="197" width="12.140625" style="35" customWidth="1"/>
    <col min="198" max="198" width="7.42578125" style="35" customWidth="1"/>
    <col min="199" max="199" width="16" style="35" customWidth="1"/>
    <col min="200" max="201" width="11.42578125" style="35"/>
    <col min="202" max="202" width="13.140625" style="35" bestFit="1" customWidth="1"/>
    <col min="203" max="431" width="11.42578125" style="35"/>
    <col min="432" max="432" width="5.28515625" style="35" customWidth="1"/>
    <col min="433" max="433" width="26" style="35" customWidth="1"/>
    <col min="434" max="434" width="11.140625" style="35" customWidth="1"/>
    <col min="435" max="435" width="21.42578125" style="35" customWidth="1"/>
    <col min="436" max="436" width="2.140625" style="35" customWidth="1"/>
    <col min="437" max="439" width="2" style="35" customWidth="1"/>
    <col min="440" max="440" width="2.42578125" style="35" customWidth="1"/>
    <col min="441" max="441" width="2" style="35" customWidth="1"/>
    <col min="442" max="443" width="2.42578125" style="35" bestFit="1" customWidth="1"/>
    <col min="444" max="447" width="2" style="35" customWidth="1"/>
    <col min="448" max="448" width="11.7109375" style="35" customWidth="1"/>
    <col min="449" max="449" width="12.140625" style="35" customWidth="1"/>
    <col min="450" max="450" width="12.85546875" style="35" customWidth="1"/>
    <col min="451" max="451" width="14" style="35" customWidth="1"/>
    <col min="452" max="452" width="10.5703125" style="35" customWidth="1"/>
    <col min="453" max="453" width="12.140625" style="35" customWidth="1"/>
    <col min="454" max="454" width="7.42578125" style="35" customWidth="1"/>
    <col min="455" max="455" width="16" style="35" customWidth="1"/>
    <col min="456" max="457" width="11.42578125" style="35"/>
    <col min="458" max="458" width="13.140625" style="35" bestFit="1" customWidth="1"/>
    <col min="459" max="687" width="11.42578125" style="35"/>
    <col min="688" max="688" width="5.28515625" style="35" customWidth="1"/>
    <col min="689" max="689" width="26" style="35" customWidth="1"/>
    <col min="690" max="690" width="11.140625" style="35" customWidth="1"/>
    <col min="691" max="691" width="21.42578125" style="35" customWidth="1"/>
    <col min="692" max="692" width="2.140625" style="35" customWidth="1"/>
    <col min="693" max="695" width="2" style="35" customWidth="1"/>
    <col min="696" max="696" width="2.42578125" style="35" customWidth="1"/>
    <col min="697" max="697" width="2" style="35" customWidth="1"/>
    <col min="698" max="699" width="2.42578125" style="35" bestFit="1" customWidth="1"/>
    <col min="700" max="703" width="2" style="35" customWidth="1"/>
    <col min="704" max="704" width="11.7109375" style="35" customWidth="1"/>
    <col min="705" max="705" width="12.140625" style="35" customWidth="1"/>
    <col min="706" max="706" width="12.85546875" style="35" customWidth="1"/>
    <col min="707" max="707" width="14" style="35" customWidth="1"/>
    <col min="708" max="708" width="10.5703125" style="35" customWidth="1"/>
    <col min="709" max="709" width="12.140625" style="35" customWidth="1"/>
    <col min="710" max="710" width="7.42578125" style="35" customWidth="1"/>
    <col min="711" max="711" width="16" style="35" customWidth="1"/>
    <col min="712" max="713" width="11.42578125" style="35"/>
    <col min="714" max="714" width="13.140625" style="35" bestFit="1" customWidth="1"/>
    <col min="715" max="943" width="11.42578125" style="35"/>
    <col min="944" max="944" width="5.28515625" style="35" customWidth="1"/>
    <col min="945" max="945" width="26" style="35" customWidth="1"/>
    <col min="946" max="946" width="11.140625" style="35" customWidth="1"/>
    <col min="947" max="947" width="21.42578125" style="35" customWidth="1"/>
    <col min="948" max="948" width="2.140625" style="35" customWidth="1"/>
    <col min="949" max="951" width="2" style="35" customWidth="1"/>
    <col min="952" max="952" width="2.42578125" style="35" customWidth="1"/>
    <col min="953" max="953" width="2" style="35" customWidth="1"/>
    <col min="954" max="955" width="2.42578125" style="35" bestFit="1" customWidth="1"/>
    <col min="956" max="959" width="2" style="35" customWidth="1"/>
    <col min="960" max="960" width="11.7109375" style="35" customWidth="1"/>
    <col min="961" max="961" width="12.140625" style="35" customWidth="1"/>
    <col min="962" max="962" width="12.85546875" style="35" customWidth="1"/>
    <col min="963" max="963" width="14" style="35" customWidth="1"/>
    <col min="964" max="964" width="10.5703125" style="35" customWidth="1"/>
    <col min="965" max="965" width="12.140625" style="35" customWidth="1"/>
    <col min="966" max="966" width="7.42578125" style="35" customWidth="1"/>
    <col min="967" max="967" width="16" style="35" customWidth="1"/>
    <col min="968" max="969" width="11.42578125" style="35"/>
    <col min="970" max="970" width="13.140625" style="35" bestFit="1" customWidth="1"/>
    <col min="971" max="1199" width="11.42578125" style="35"/>
    <col min="1200" max="1200" width="5.28515625" style="35" customWidth="1"/>
    <col min="1201" max="1201" width="26" style="35" customWidth="1"/>
    <col min="1202" max="1202" width="11.140625" style="35" customWidth="1"/>
    <col min="1203" max="1203" width="21.42578125" style="35" customWidth="1"/>
    <col min="1204" max="1204" width="2.140625" style="35" customWidth="1"/>
    <col min="1205" max="1207" width="2" style="35" customWidth="1"/>
    <col min="1208" max="1208" width="2.42578125" style="35" customWidth="1"/>
    <col min="1209" max="1209" width="2" style="35" customWidth="1"/>
    <col min="1210" max="1211" width="2.42578125" style="35" bestFit="1" customWidth="1"/>
    <col min="1212" max="1215" width="2" style="35" customWidth="1"/>
    <col min="1216" max="1216" width="11.7109375" style="35" customWidth="1"/>
    <col min="1217" max="1217" width="12.140625" style="35" customWidth="1"/>
    <col min="1218" max="1218" width="12.85546875" style="35" customWidth="1"/>
    <col min="1219" max="1219" width="14" style="35" customWidth="1"/>
    <col min="1220" max="1220" width="10.5703125" style="35" customWidth="1"/>
    <col min="1221" max="1221" width="12.140625" style="35" customWidth="1"/>
    <col min="1222" max="1222" width="7.42578125" style="35" customWidth="1"/>
    <col min="1223" max="1223" width="16" style="35" customWidth="1"/>
    <col min="1224" max="1225" width="11.42578125" style="35"/>
    <col min="1226" max="1226" width="13.140625" style="35" bestFit="1" customWidth="1"/>
    <col min="1227" max="1455" width="11.42578125" style="35"/>
    <col min="1456" max="1456" width="5.28515625" style="35" customWidth="1"/>
    <col min="1457" max="1457" width="26" style="35" customWidth="1"/>
    <col min="1458" max="1458" width="11.140625" style="35" customWidth="1"/>
    <col min="1459" max="1459" width="21.42578125" style="35" customWidth="1"/>
    <col min="1460" max="1460" width="2.140625" style="35" customWidth="1"/>
    <col min="1461" max="1463" width="2" style="35" customWidth="1"/>
    <col min="1464" max="1464" width="2.42578125" style="35" customWidth="1"/>
    <col min="1465" max="1465" width="2" style="35" customWidth="1"/>
    <col min="1466" max="1467" width="2.42578125" style="35" bestFit="1" customWidth="1"/>
    <col min="1468" max="1471" width="2" style="35" customWidth="1"/>
    <col min="1472" max="1472" width="11.7109375" style="35" customWidth="1"/>
    <col min="1473" max="1473" width="12.140625" style="35" customWidth="1"/>
    <col min="1474" max="1474" width="12.85546875" style="35" customWidth="1"/>
    <col min="1475" max="1475" width="14" style="35" customWidth="1"/>
    <col min="1476" max="1476" width="10.5703125" style="35" customWidth="1"/>
    <col min="1477" max="1477" width="12.140625" style="35" customWidth="1"/>
    <col min="1478" max="1478" width="7.42578125" style="35" customWidth="1"/>
    <col min="1479" max="1479" width="16" style="35" customWidth="1"/>
    <col min="1480" max="1481" width="11.42578125" style="35"/>
    <col min="1482" max="1482" width="13.140625" style="35" bestFit="1" customWidth="1"/>
    <col min="1483" max="1711" width="11.42578125" style="35"/>
    <col min="1712" max="1712" width="5.28515625" style="35" customWidth="1"/>
    <col min="1713" max="1713" width="26" style="35" customWidth="1"/>
    <col min="1714" max="1714" width="11.140625" style="35" customWidth="1"/>
    <col min="1715" max="1715" width="21.42578125" style="35" customWidth="1"/>
    <col min="1716" max="1716" width="2.140625" style="35" customWidth="1"/>
    <col min="1717" max="1719" width="2" style="35" customWidth="1"/>
    <col min="1720" max="1720" width="2.42578125" style="35" customWidth="1"/>
    <col min="1721" max="1721" width="2" style="35" customWidth="1"/>
    <col min="1722" max="1723" width="2.42578125" style="35" bestFit="1" customWidth="1"/>
    <col min="1724" max="1727" width="2" style="35" customWidth="1"/>
    <col min="1728" max="1728" width="11.7109375" style="35" customWidth="1"/>
    <col min="1729" max="1729" width="12.140625" style="35" customWidth="1"/>
    <col min="1730" max="1730" width="12.85546875" style="35" customWidth="1"/>
    <col min="1731" max="1731" width="14" style="35" customWidth="1"/>
    <col min="1732" max="1732" width="10.5703125" style="35" customWidth="1"/>
    <col min="1733" max="1733" width="12.140625" style="35" customWidth="1"/>
    <col min="1734" max="1734" width="7.42578125" style="35" customWidth="1"/>
    <col min="1735" max="1735" width="16" style="35" customWidth="1"/>
    <col min="1736" max="1737" width="11.42578125" style="35"/>
    <col min="1738" max="1738" width="13.140625" style="35" bestFit="1" customWidth="1"/>
    <col min="1739" max="1967" width="11.42578125" style="35"/>
    <col min="1968" max="1968" width="5.28515625" style="35" customWidth="1"/>
    <col min="1969" max="1969" width="26" style="35" customWidth="1"/>
    <col min="1970" max="1970" width="11.140625" style="35" customWidth="1"/>
    <col min="1971" max="1971" width="21.42578125" style="35" customWidth="1"/>
    <col min="1972" max="1972" width="2.140625" style="35" customWidth="1"/>
    <col min="1973" max="1975" width="2" style="35" customWidth="1"/>
    <col min="1976" max="1976" width="2.42578125" style="35" customWidth="1"/>
    <col min="1977" max="1977" width="2" style="35" customWidth="1"/>
    <col min="1978" max="1979" width="2.42578125" style="35" bestFit="1" customWidth="1"/>
    <col min="1980" max="1983" width="2" style="35" customWidth="1"/>
    <col min="1984" max="1984" width="11.7109375" style="35" customWidth="1"/>
    <col min="1985" max="1985" width="12.140625" style="35" customWidth="1"/>
    <col min="1986" max="1986" width="12.85546875" style="35" customWidth="1"/>
    <col min="1987" max="1987" width="14" style="35" customWidth="1"/>
    <col min="1988" max="1988" width="10.5703125" style="35" customWidth="1"/>
    <col min="1989" max="1989" width="12.140625" style="35" customWidth="1"/>
    <col min="1990" max="1990" width="7.42578125" style="35" customWidth="1"/>
    <col min="1991" max="1991" width="16" style="35" customWidth="1"/>
    <col min="1992" max="1993" width="11.42578125" style="35"/>
    <col min="1994" max="1994" width="13.140625" style="35" bestFit="1" customWidth="1"/>
    <col min="1995" max="2223" width="11.42578125" style="35"/>
    <col min="2224" max="2224" width="5.28515625" style="35" customWidth="1"/>
    <col min="2225" max="2225" width="26" style="35" customWidth="1"/>
    <col min="2226" max="2226" width="11.140625" style="35" customWidth="1"/>
    <col min="2227" max="2227" width="21.42578125" style="35" customWidth="1"/>
    <col min="2228" max="2228" width="2.140625" style="35" customWidth="1"/>
    <col min="2229" max="2231" width="2" style="35" customWidth="1"/>
    <col min="2232" max="2232" width="2.42578125" style="35" customWidth="1"/>
    <col min="2233" max="2233" width="2" style="35" customWidth="1"/>
    <col min="2234" max="2235" width="2.42578125" style="35" bestFit="1" customWidth="1"/>
    <col min="2236" max="2239" width="2" style="35" customWidth="1"/>
    <col min="2240" max="2240" width="11.7109375" style="35" customWidth="1"/>
    <col min="2241" max="2241" width="12.140625" style="35" customWidth="1"/>
    <col min="2242" max="2242" width="12.85546875" style="35" customWidth="1"/>
    <col min="2243" max="2243" width="14" style="35" customWidth="1"/>
    <col min="2244" max="2244" width="10.5703125" style="35" customWidth="1"/>
    <col min="2245" max="2245" width="12.140625" style="35" customWidth="1"/>
    <col min="2246" max="2246" width="7.42578125" style="35" customWidth="1"/>
    <col min="2247" max="2247" width="16" style="35" customWidth="1"/>
    <col min="2248" max="2249" width="11.42578125" style="35"/>
    <col min="2250" max="2250" width="13.140625" style="35" bestFit="1" customWidth="1"/>
    <col min="2251" max="2479" width="11.42578125" style="35"/>
    <col min="2480" max="2480" width="5.28515625" style="35" customWidth="1"/>
    <col min="2481" max="2481" width="26" style="35" customWidth="1"/>
    <col min="2482" max="2482" width="11.140625" style="35" customWidth="1"/>
    <col min="2483" max="2483" width="21.42578125" style="35" customWidth="1"/>
    <col min="2484" max="2484" width="2.140625" style="35" customWidth="1"/>
    <col min="2485" max="2487" width="2" style="35" customWidth="1"/>
    <col min="2488" max="2488" width="2.42578125" style="35" customWidth="1"/>
    <col min="2489" max="2489" width="2" style="35" customWidth="1"/>
    <col min="2490" max="2491" width="2.42578125" style="35" bestFit="1" customWidth="1"/>
    <col min="2492" max="2495" width="2" style="35" customWidth="1"/>
    <col min="2496" max="2496" width="11.7109375" style="35" customWidth="1"/>
    <col min="2497" max="2497" width="12.140625" style="35" customWidth="1"/>
    <col min="2498" max="2498" width="12.85546875" style="35" customWidth="1"/>
    <col min="2499" max="2499" width="14" style="35" customWidth="1"/>
    <col min="2500" max="2500" width="10.5703125" style="35" customWidth="1"/>
    <col min="2501" max="2501" width="12.140625" style="35" customWidth="1"/>
    <col min="2502" max="2502" width="7.42578125" style="35" customWidth="1"/>
    <col min="2503" max="2503" width="16" style="35" customWidth="1"/>
    <col min="2504" max="2505" width="11.42578125" style="35"/>
    <col min="2506" max="2506" width="13.140625" style="35" bestFit="1" customWidth="1"/>
    <col min="2507" max="2735" width="11.42578125" style="35"/>
    <col min="2736" max="2736" width="5.28515625" style="35" customWidth="1"/>
    <col min="2737" max="2737" width="26" style="35" customWidth="1"/>
    <col min="2738" max="2738" width="11.140625" style="35" customWidth="1"/>
    <col min="2739" max="2739" width="21.42578125" style="35" customWidth="1"/>
    <col min="2740" max="2740" width="2.140625" style="35" customWidth="1"/>
    <col min="2741" max="2743" width="2" style="35" customWidth="1"/>
    <col min="2744" max="2744" width="2.42578125" style="35" customWidth="1"/>
    <col min="2745" max="2745" width="2" style="35" customWidth="1"/>
    <col min="2746" max="2747" width="2.42578125" style="35" bestFit="1" customWidth="1"/>
    <col min="2748" max="2751" width="2" style="35" customWidth="1"/>
    <col min="2752" max="2752" width="11.7109375" style="35" customWidth="1"/>
    <col min="2753" max="2753" width="12.140625" style="35" customWidth="1"/>
    <col min="2754" max="2754" width="12.85546875" style="35" customWidth="1"/>
    <col min="2755" max="2755" width="14" style="35" customWidth="1"/>
    <col min="2756" max="2756" width="10.5703125" style="35" customWidth="1"/>
    <col min="2757" max="2757" width="12.140625" style="35" customWidth="1"/>
    <col min="2758" max="2758" width="7.42578125" style="35" customWidth="1"/>
    <col min="2759" max="2759" width="16" style="35" customWidth="1"/>
    <col min="2760" max="2761" width="11.42578125" style="35"/>
    <col min="2762" max="2762" width="13.140625" style="35" bestFit="1" customWidth="1"/>
    <col min="2763" max="2991" width="11.42578125" style="35"/>
    <col min="2992" max="2992" width="5.28515625" style="35" customWidth="1"/>
    <col min="2993" max="2993" width="26" style="35" customWidth="1"/>
    <col min="2994" max="2994" width="11.140625" style="35" customWidth="1"/>
    <col min="2995" max="2995" width="21.42578125" style="35" customWidth="1"/>
    <col min="2996" max="2996" width="2.140625" style="35" customWidth="1"/>
    <col min="2997" max="2999" width="2" style="35" customWidth="1"/>
    <col min="3000" max="3000" width="2.42578125" style="35" customWidth="1"/>
    <col min="3001" max="3001" width="2" style="35" customWidth="1"/>
    <col min="3002" max="3003" width="2.42578125" style="35" bestFit="1" customWidth="1"/>
    <col min="3004" max="3007" width="2" style="35" customWidth="1"/>
    <col min="3008" max="3008" width="11.7109375" style="35" customWidth="1"/>
    <col min="3009" max="3009" width="12.140625" style="35" customWidth="1"/>
    <col min="3010" max="3010" width="12.85546875" style="35" customWidth="1"/>
    <col min="3011" max="3011" width="14" style="35" customWidth="1"/>
    <col min="3012" max="3012" width="10.5703125" style="35" customWidth="1"/>
    <col min="3013" max="3013" width="12.140625" style="35" customWidth="1"/>
    <col min="3014" max="3014" width="7.42578125" style="35" customWidth="1"/>
    <col min="3015" max="3015" width="16" style="35" customWidth="1"/>
    <col min="3016" max="3017" width="11.42578125" style="35"/>
    <col min="3018" max="3018" width="13.140625" style="35" bestFit="1" customWidth="1"/>
    <col min="3019" max="3247" width="11.42578125" style="35"/>
    <col min="3248" max="3248" width="5.28515625" style="35" customWidth="1"/>
    <col min="3249" max="3249" width="26" style="35" customWidth="1"/>
    <col min="3250" max="3250" width="11.140625" style="35" customWidth="1"/>
    <col min="3251" max="3251" width="21.42578125" style="35" customWidth="1"/>
    <col min="3252" max="3252" width="2.140625" style="35" customWidth="1"/>
    <col min="3253" max="3255" width="2" style="35" customWidth="1"/>
    <col min="3256" max="3256" width="2.42578125" style="35" customWidth="1"/>
    <col min="3257" max="3257" width="2" style="35" customWidth="1"/>
    <col min="3258" max="3259" width="2.42578125" style="35" bestFit="1" customWidth="1"/>
    <col min="3260" max="3263" width="2" style="35" customWidth="1"/>
    <col min="3264" max="3264" width="11.7109375" style="35" customWidth="1"/>
    <col min="3265" max="3265" width="12.140625" style="35" customWidth="1"/>
    <col min="3266" max="3266" width="12.85546875" style="35" customWidth="1"/>
    <col min="3267" max="3267" width="14" style="35" customWidth="1"/>
    <col min="3268" max="3268" width="10.5703125" style="35" customWidth="1"/>
    <col min="3269" max="3269" width="12.140625" style="35" customWidth="1"/>
    <col min="3270" max="3270" width="7.42578125" style="35" customWidth="1"/>
    <col min="3271" max="3271" width="16" style="35" customWidth="1"/>
    <col min="3272" max="3273" width="11.42578125" style="35"/>
    <col min="3274" max="3274" width="13.140625" style="35" bestFit="1" customWidth="1"/>
    <col min="3275" max="3503" width="11.42578125" style="35"/>
    <col min="3504" max="3504" width="5.28515625" style="35" customWidth="1"/>
    <col min="3505" max="3505" width="26" style="35" customWidth="1"/>
    <col min="3506" max="3506" width="11.140625" style="35" customWidth="1"/>
    <col min="3507" max="3507" width="21.42578125" style="35" customWidth="1"/>
    <col min="3508" max="3508" width="2.140625" style="35" customWidth="1"/>
    <col min="3509" max="3511" width="2" style="35" customWidth="1"/>
    <col min="3512" max="3512" width="2.42578125" style="35" customWidth="1"/>
    <col min="3513" max="3513" width="2" style="35" customWidth="1"/>
    <col min="3514" max="3515" width="2.42578125" style="35" bestFit="1" customWidth="1"/>
    <col min="3516" max="3519" width="2" style="35" customWidth="1"/>
    <col min="3520" max="3520" width="11.7109375" style="35" customWidth="1"/>
    <col min="3521" max="3521" width="12.140625" style="35" customWidth="1"/>
    <col min="3522" max="3522" width="12.85546875" style="35" customWidth="1"/>
    <col min="3523" max="3523" width="14" style="35" customWidth="1"/>
    <col min="3524" max="3524" width="10.5703125" style="35" customWidth="1"/>
    <col min="3525" max="3525" width="12.140625" style="35" customWidth="1"/>
    <col min="3526" max="3526" width="7.42578125" style="35" customWidth="1"/>
    <col min="3527" max="3527" width="16" style="35" customWidth="1"/>
    <col min="3528" max="3529" width="11.42578125" style="35"/>
    <col min="3530" max="3530" width="13.140625" style="35" bestFit="1" customWidth="1"/>
    <col min="3531" max="3759" width="11.42578125" style="35"/>
    <col min="3760" max="3760" width="5.28515625" style="35" customWidth="1"/>
    <col min="3761" max="3761" width="26" style="35" customWidth="1"/>
    <col min="3762" max="3762" width="11.140625" style="35" customWidth="1"/>
    <col min="3763" max="3763" width="21.42578125" style="35" customWidth="1"/>
    <col min="3764" max="3764" width="2.140625" style="35" customWidth="1"/>
    <col min="3765" max="3767" width="2" style="35" customWidth="1"/>
    <col min="3768" max="3768" width="2.42578125" style="35" customWidth="1"/>
    <col min="3769" max="3769" width="2" style="35" customWidth="1"/>
    <col min="3770" max="3771" width="2.42578125" style="35" bestFit="1" customWidth="1"/>
    <col min="3772" max="3775" width="2" style="35" customWidth="1"/>
    <col min="3776" max="3776" width="11.7109375" style="35" customWidth="1"/>
    <col min="3777" max="3777" width="12.140625" style="35" customWidth="1"/>
    <col min="3778" max="3778" width="12.85546875" style="35" customWidth="1"/>
    <col min="3779" max="3779" width="14" style="35" customWidth="1"/>
    <col min="3780" max="3780" width="10.5703125" style="35" customWidth="1"/>
    <col min="3781" max="3781" width="12.140625" style="35" customWidth="1"/>
    <col min="3782" max="3782" width="7.42578125" style="35" customWidth="1"/>
    <col min="3783" max="3783" width="16" style="35" customWidth="1"/>
    <col min="3784" max="3785" width="11.42578125" style="35"/>
    <col min="3786" max="3786" width="13.140625" style="35" bestFit="1" customWidth="1"/>
    <col min="3787" max="4015" width="11.42578125" style="35"/>
    <col min="4016" max="4016" width="5.28515625" style="35" customWidth="1"/>
    <col min="4017" max="4017" width="26" style="35" customWidth="1"/>
    <col min="4018" max="4018" width="11.140625" style="35" customWidth="1"/>
    <col min="4019" max="4019" width="21.42578125" style="35" customWidth="1"/>
    <col min="4020" max="4020" width="2.140625" style="35" customWidth="1"/>
    <col min="4021" max="4023" width="2" style="35" customWidth="1"/>
    <col min="4024" max="4024" width="2.42578125" style="35" customWidth="1"/>
    <col min="4025" max="4025" width="2" style="35" customWidth="1"/>
    <col min="4026" max="4027" width="2.42578125" style="35" bestFit="1" customWidth="1"/>
    <col min="4028" max="4031" width="2" style="35" customWidth="1"/>
    <col min="4032" max="4032" width="11.7109375" style="35" customWidth="1"/>
    <col min="4033" max="4033" width="12.140625" style="35" customWidth="1"/>
    <col min="4034" max="4034" width="12.85546875" style="35" customWidth="1"/>
    <col min="4035" max="4035" width="14" style="35" customWidth="1"/>
    <col min="4036" max="4036" width="10.5703125" style="35" customWidth="1"/>
    <col min="4037" max="4037" width="12.140625" style="35" customWidth="1"/>
    <col min="4038" max="4038" width="7.42578125" style="35" customWidth="1"/>
    <col min="4039" max="4039" width="16" style="35" customWidth="1"/>
    <col min="4040" max="4041" width="11.42578125" style="35"/>
    <col min="4042" max="4042" width="13.140625" style="35" bestFit="1" customWidth="1"/>
    <col min="4043" max="4271" width="11.42578125" style="35"/>
    <col min="4272" max="4272" width="5.28515625" style="35" customWidth="1"/>
    <col min="4273" max="4273" width="26" style="35" customWidth="1"/>
    <col min="4274" max="4274" width="11.140625" style="35" customWidth="1"/>
    <col min="4275" max="4275" width="21.42578125" style="35" customWidth="1"/>
    <col min="4276" max="4276" width="2.140625" style="35" customWidth="1"/>
    <col min="4277" max="4279" width="2" style="35" customWidth="1"/>
    <col min="4280" max="4280" width="2.42578125" style="35" customWidth="1"/>
    <col min="4281" max="4281" width="2" style="35" customWidth="1"/>
    <col min="4282" max="4283" width="2.42578125" style="35" bestFit="1" customWidth="1"/>
    <col min="4284" max="4287" width="2" style="35" customWidth="1"/>
    <col min="4288" max="4288" width="11.7109375" style="35" customWidth="1"/>
    <col min="4289" max="4289" width="12.140625" style="35" customWidth="1"/>
    <col min="4290" max="4290" width="12.85546875" style="35" customWidth="1"/>
    <col min="4291" max="4291" width="14" style="35" customWidth="1"/>
    <col min="4292" max="4292" width="10.5703125" style="35" customWidth="1"/>
    <col min="4293" max="4293" width="12.140625" style="35" customWidth="1"/>
    <col min="4294" max="4294" width="7.42578125" style="35" customWidth="1"/>
    <col min="4295" max="4295" width="16" style="35" customWidth="1"/>
    <col min="4296" max="4297" width="11.42578125" style="35"/>
    <col min="4298" max="4298" width="13.140625" style="35" bestFit="1" customWidth="1"/>
    <col min="4299" max="4527" width="11.42578125" style="35"/>
    <col min="4528" max="4528" width="5.28515625" style="35" customWidth="1"/>
    <col min="4529" max="4529" width="26" style="35" customWidth="1"/>
    <col min="4530" max="4530" width="11.140625" style="35" customWidth="1"/>
    <col min="4531" max="4531" width="21.42578125" style="35" customWidth="1"/>
    <col min="4532" max="4532" width="2.140625" style="35" customWidth="1"/>
    <col min="4533" max="4535" width="2" style="35" customWidth="1"/>
    <col min="4536" max="4536" width="2.42578125" style="35" customWidth="1"/>
    <col min="4537" max="4537" width="2" style="35" customWidth="1"/>
    <col min="4538" max="4539" width="2.42578125" style="35" bestFit="1" customWidth="1"/>
    <col min="4540" max="4543" width="2" style="35" customWidth="1"/>
    <col min="4544" max="4544" width="11.7109375" style="35" customWidth="1"/>
    <col min="4545" max="4545" width="12.140625" style="35" customWidth="1"/>
    <col min="4546" max="4546" width="12.85546875" style="35" customWidth="1"/>
    <col min="4547" max="4547" width="14" style="35" customWidth="1"/>
    <col min="4548" max="4548" width="10.5703125" style="35" customWidth="1"/>
    <col min="4549" max="4549" width="12.140625" style="35" customWidth="1"/>
    <col min="4550" max="4550" width="7.42578125" style="35" customWidth="1"/>
    <col min="4551" max="4551" width="16" style="35" customWidth="1"/>
    <col min="4552" max="4553" width="11.42578125" style="35"/>
    <col min="4554" max="4554" width="13.140625" style="35" bestFit="1" customWidth="1"/>
    <col min="4555" max="4783" width="11.42578125" style="35"/>
    <col min="4784" max="4784" width="5.28515625" style="35" customWidth="1"/>
    <col min="4785" max="4785" width="26" style="35" customWidth="1"/>
    <col min="4786" max="4786" width="11.140625" style="35" customWidth="1"/>
    <col min="4787" max="4787" width="21.42578125" style="35" customWidth="1"/>
    <col min="4788" max="4788" width="2.140625" style="35" customWidth="1"/>
    <col min="4789" max="4791" width="2" style="35" customWidth="1"/>
    <col min="4792" max="4792" width="2.42578125" style="35" customWidth="1"/>
    <col min="4793" max="4793" width="2" style="35" customWidth="1"/>
    <col min="4794" max="4795" width="2.42578125" style="35" bestFit="1" customWidth="1"/>
    <col min="4796" max="4799" width="2" style="35" customWidth="1"/>
    <col min="4800" max="4800" width="11.7109375" style="35" customWidth="1"/>
    <col min="4801" max="4801" width="12.140625" style="35" customWidth="1"/>
    <col min="4802" max="4802" width="12.85546875" style="35" customWidth="1"/>
    <col min="4803" max="4803" width="14" style="35" customWidth="1"/>
    <col min="4804" max="4804" width="10.5703125" style="35" customWidth="1"/>
    <col min="4805" max="4805" width="12.140625" style="35" customWidth="1"/>
    <col min="4806" max="4806" width="7.42578125" style="35" customWidth="1"/>
    <col min="4807" max="4807" width="16" style="35" customWidth="1"/>
    <col min="4808" max="4809" width="11.42578125" style="35"/>
    <col min="4810" max="4810" width="13.140625" style="35" bestFit="1" customWidth="1"/>
    <col min="4811" max="5039" width="11.42578125" style="35"/>
    <col min="5040" max="5040" width="5.28515625" style="35" customWidth="1"/>
    <col min="5041" max="5041" width="26" style="35" customWidth="1"/>
    <col min="5042" max="5042" width="11.140625" style="35" customWidth="1"/>
    <col min="5043" max="5043" width="21.42578125" style="35" customWidth="1"/>
    <col min="5044" max="5044" width="2.140625" style="35" customWidth="1"/>
    <col min="5045" max="5047" width="2" style="35" customWidth="1"/>
    <col min="5048" max="5048" width="2.42578125" style="35" customWidth="1"/>
    <col min="5049" max="5049" width="2" style="35" customWidth="1"/>
    <col min="5050" max="5051" width="2.42578125" style="35" bestFit="1" customWidth="1"/>
    <col min="5052" max="5055" width="2" style="35" customWidth="1"/>
    <col min="5056" max="5056" width="11.7109375" style="35" customWidth="1"/>
    <col min="5057" max="5057" width="12.140625" style="35" customWidth="1"/>
    <col min="5058" max="5058" width="12.85546875" style="35" customWidth="1"/>
    <col min="5059" max="5059" width="14" style="35" customWidth="1"/>
    <col min="5060" max="5060" width="10.5703125" style="35" customWidth="1"/>
    <col min="5061" max="5061" width="12.140625" style="35" customWidth="1"/>
    <col min="5062" max="5062" width="7.42578125" style="35" customWidth="1"/>
    <col min="5063" max="5063" width="16" style="35" customWidth="1"/>
    <col min="5064" max="5065" width="11.42578125" style="35"/>
    <col min="5066" max="5066" width="13.140625" style="35" bestFit="1" customWidth="1"/>
    <col min="5067" max="5295" width="11.42578125" style="35"/>
    <col min="5296" max="5296" width="5.28515625" style="35" customWidth="1"/>
    <col min="5297" max="5297" width="26" style="35" customWidth="1"/>
    <col min="5298" max="5298" width="11.140625" style="35" customWidth="1"/>
    <col min="5299" max="5299" width="21.42578125" style="35" customWidth="1"/>
    <col min="5300" max="5300" width="2.140625" style="35" customWidth="1"/>
    <col min="5301" max="5303" width="2" style="35" customWidth="1"/>
    <col min="5304" max="5304" width="2.42578125" style="35" customWidth="1"/>
    <col min="5305" max="5305" width="2" style="35" customWidth="1"/>
    <col min="5306" max="5307" width="2.42578125" style="35" bestFit="1" customWidth="1"/>
    <col min="5308" max="5311" width="2" style="35" customWidth="1"/>
    <col min="5312" max="5312" width="11.7109375" style="35" customWidth="1"/>
    <col min="5313" max="5313" width="12.140625" style="35" customWidth="1"/>
    <col min="5314" max="5314" width="12.85546875" style="35" customWidth="1"/>
    <col min="5315" max="5315" width="14" style="35" customWidth="1"/>
    <col min="5316" max="5316" width="10.5703125" style="35" customWidth="1"/>
    <col min="5317" max="5317" width="12.140625" style="35" customWidth="1"/>
    <col min="5318" max="5318" width="7.42578125" style="35" customWidth="1"/>
    <col min="5319" max="5319" width="16" style="35" customWidth="1"/>
    <col min="5320" max="5321" width="11.42578125" style="35"/>
    <col min="5322" max="5322" width="13.140625" style="35" bestFit="1" customWidth="1"/>
    <col min="5323" max="5551" width="11.42578125" style="35"/>
    <col min="5552" max="5552" width="5.28515625" style="35" customWidth="1"/>
    <col min="5553" max="5553" width="26" style="35" customWidth="1"/>
    <col min="5554" max="5554" width="11.140625" style="35" customWidth="1"/>
    <col min="5555" max="5555" width="21.42578125" style="35" customWidth="1"/>
    <col min="5556" max="5556" width="2.140625" style="35" customWidth="1"/>
    <col min="5557" max="5559" width="2" style="35" customWidth="1"/>
    <col min="5560" max="5560" width="2.42578125" style="35" customWidth="1"/>
    <col min="5561" max="5561" width="2" style="35" customWidth="1"/>
    <col min="5562" max="5563" width="2.42578125" style="35" bestFit="1" customWidth="1"/>
    <col min="5564" max="5567" width="2" style="35" customWidth="1"/>
    <col min="5568" max="5568" width="11.7109375" style="35" customWidth="1"/>
    <col min="5569" max="5569" width="12.140625" style="35" customWidth="1"/>
    <col min="5570" max="5570" width="12.85546875" style="35" customWidth="1"/>
    <col min="5571" max="5571" width="14" style="35" customWidth="1"/>
    <col min="5572" max="5572" width="10.5703125" style="35" customWidth="1"/>
    <col min="5573" max="5573" width="12.140625" style="35" customWidth="1"/>
    <col min="5574" max="5574" width="7.42578125" style="35" customWidth="1"/>
    <col min="5575" max="5575" width="16" style="35" customWidth="1"/>
    <col min="5576" max="5577" width="11.42578125" style="35"/>
    <col min="5578" max="5578" width="13.140625" style="35" bestFit="1" customWidth="1"/>
    <col min="5579" max="5807" width="11.42578125" style="35"/>
    <col min="5808" max="5808" width="5.28515625" style="35" customWidth="1"/>
    <col min="5809" max="5809" width="26" style="35" customWidth="1"/>
    <col min="5810" max="5810" width="11.140625" style="35" customWidth="1"/>
    <col min="5811" max="5811" width="21.42578125" style="35" customWidth="1"/>
    <col min="5812" max="5812" width="2.140625" style="35" customWidth="1"/>
    <col min="5813" max="5815" width="2" style="35" customWidth="1"/>
    <col min="5816" max="5816" width="2.42578125" style="35" customWidth="1"/>
    <col min="5817" max="5817" width="2" style="35" customWidth="1"/>
    <col min="5818" max="5819" width="2.42578125" style="35" bestFit="1" customWidth="1"/>
    <col min="5820" max="5823" width="2" style="35" customWidth="1"/>
    <col min="5824" max="5824" width="11.7109375" style="35" customWidth="1"/>
    <col min="5825" max="5825" width="12.140625" style="35" customWidth="1"/>
    <col min="5826" max="5826" width="12.85546875" style="35" customWidth="1"/>
    <col min="5827" max="5827" width="14" style="35" customWidth="1"/>
    <col min="5828" max="5828" width="10.5703125" style="35" customWidth="1"/>
    <col min="5829" max="5829" width="12.140625" style="35" customWidth="1"/>
    <col min="5830" max="5830" width="7.42578125" style="35" customWidth="1"/>
    <col min="5831" max="5831" width="16" style="35" customWidth="1"/>
    <col min="5832" max="5833" width="11.42578125" style="35"/>
    <col min="5834" max="5834" width="13.140625" style="35" bestFit="1" customWidth="1"/>
    <col min="5835" max="6063" width="11.42578125" style="35"/>
    <col min="6064" max="6064" width="5.28515625" style="35" customWidth="1"/>
    <col min="6065" max="6065" width="26" style="35" customWidth="1"/>
    <col min="6066" max="6066" width="11.140625" style="35" customWidth="1"/>
    <col min="6067" max="6067" width="21.42578125" style="35" customWidth="1"/>
    <col min="6068" max="6068" width="2.140625" style="35" customWidth="1"/>
    <col min="6069" max="6071" width="2" style="35" customWidth="1"/>
    <col min="6072" max="6072" width="2.42578125" style="35" customWidth="1"/>
    <col min="6073" max="6073" width="2" style="35" customWidth="1"/>
    <col min="6074" max="6075" width="2.42578125" style="35" bestFit="1" customWidth="1"/>
    <col min="6076" max="6079" width="2" style="35" customWidth="1"/>
    <col min="6080" max="6080" width="11.7109375" style="35" customWidth="1"/>
    <col min="6081" max="6081" width="12.140625" style="35" customWidth="1"/>
    <col min="6082" max="6082" width="12.85546875" style="35" customWidth="1"/>
    <col min="6083" max="6083" width="14" style="35" customWidth="1"/>
    <col min="6084" max="6084" width="10.5703125" style="35" customWidth="1"/>
    <col min="6085" max="6085" width="12.140625" style="35" customWidth="1"/>
    <col min="6086" max="6086" width="7.42578125" style="35" customWidth="1"/>
    <col min="6087" max="6087" width="16" style="35" customWidth="1"/>
    <col min="6088" max="6089" width="11.42578125" style="35"/>
    <col min="6090" max="6090" width="13.140625" style="35" bestFit="1" customWidth="1"/>
    <col min="6091" max="6319" width="11.42578125" style="35"/>
    <col min="6320" max="6320" width="5.28515625" style="35" customWidth="1"/>
    <col min="6321" max="6321" width="26" style="35" customWidth="1"/>
    <col min="6322" max="6322" width="11.140625" style="35" customWidth="1"/>
    <col min="6323" max="6323" width="21.42578125" style="35" customWidth="1"/>
    <col min="6324" max="6324" width="2.140625" style="35" customWidth="1"/>
    <col min="6325" max="6327" width="2" style="35" customWidth="1"/>
    <col min="6328" max="6328" width="2.42578125" style="35" customWidth="1"/>
    <col min="6329" max="6329" width="2" style="35" customWidth="1"/>
    <col min="6330" max="6331" width="2.42578125" style="35" bestFit="1" customWidth="1"/>
    <col min="6332" max="6335" width="2" style="35" customWidth="1"/>
    <col min="6336" max="6336" width="11.7109375" style="35" customWidth="1"/>
    <col min="6337" max="6337" width="12.140625" style="35" customWidth="1"/>
    <col min="6338" max="6338" width="12.85546875" style="35" customWidth="1"/>
    <col min="6339" max="6339" width="14" style="35" customWidth="1"/>
    <col min="6340" max="6340" width="10.5703125" style="35" customWidth="1"/>
    <col min="6341" max="6341" width="12.140625" style="35" customWidth="1"/>
    <col min="6342" max="6342" width="7.42578125" style="35" customWidth="1"/>
    <col min="6343" max="6343" width="16" style="35" customWidth="1"/>
    <col min="6344" max="6345" width="11.42578125" style="35"/>
    <col min="6346" max="6346" width="13.140625" style="35" bestFit="1" customWidth="1"/>
    <col min="6347" max="6575" width="11.42578125" style="35"/>
    <col min="6576" max="6576" width="5.28515625" style="35" customWidth="1"/>
    <col min="6577" max="6577" width="26" style="35" customWidth="1"/>
    <col min="6578" max="6578" width="11.140625" style="35" customWidth="1"/>
    <col min="6579" max="6579" width="21.42578125" style="35" customWidth="1"/>
    <col min="6580" max="6580" width="2.140625" style="35" customWidth="1"/>
    <col min="6581" max="6583" width="2" style="35" customWidth="1"/>
    <col min="6584" max="6584" width="2.42578125" style="35" customWidth="1"/>
    <col min="6585" max="6585" width="2" style="35" customWidth="1"/>
    <col min="6586" max="6587" width="2.42578125" style="35" bestFit="1" customWidth="1"/>
    <col min="6588" max="6591" width="2" style="35" customWidth="1"/>
    <col min="6592" max="6592" width="11.7109375" style="35" customWidth="1"/>
    <col min="6593" max="6593" width="12.140625" style="35" customWidth="1"/>
    <col min="6594" max="6594" width="12.85546875" style="35" customWidth="1"/>
    <col min="6595" max="6595" width="14" style="35" customWidth="1"/>
    <col min="6596" max="6596" width="10.5703125" style="35" customWidth="1"/>
    <col min="6597" max="6597" width="12.140625" style="35" customWidth="1"/>
    <col min="6598" max="6598" width="7.42578125" style="35" customWidth="1"/>
    <col min="6599" max="6599" width="16" style="35" customWidth="1"/>
    <col min="6600" max="6601" width="11.42578125" style="35"/>
    <col min="6602" max="6602" width="13.140625" style="35" bestFit="1" customWidth="1"/>
    <col min="6603" max="6831" width="11.42578125" style="35"/>
    <col min="6832" max="6832" width="5.28515625" style="35" customWidth="1"/>
    <col min="6833" max="6833" width="26" style="35" customWidth="1"/>
    <col min="6834" max="6834" width="11.140625" style="35" customWidth="1"/>
    <col min="6835" max="6835" width="21.42578125" style="35" customWidth="1"/>
    <col min="6836" max="6836" width="2.140625" style="35" customWidth="1"/>
    <col min="6837" max="6839" width="2" style="35" customWidth="1"/>
    <col min="6840" max="6840" width="2.42578125" style="35" customWidth="1"/>
    <col min="6841" max="6841" width="2" style="35" customWidth="1"/>
    <col min="6842" max="6843" width="2.42578125" style="35" bestFit="1" customWidth="1"/>
    <col min="6844" max="6847" width="2" style="35" customWidth="1"/>
    <col min="6848" max="6848" width="11.7109375" style="35" customWidth="1"/>
    <col min="6849" max="6849" width="12.140625" style="35" customWidth="1"/>
    <col min="6850" max="6850" width="12.85546875" style="35" customWidth="1"/>
    <col min="6851" max="6851" width="14" style="35" customWidth="1"/>
    <col min="6852" max="6852" width="10.5703125" style="35" customWidth="1"/>
    <col min="6853" max="6853" width="12.140625" style="35" customWidth="1"/>
    <col min="6854" max="6854" width="7.42578125" style="35" customWidth="1"/>
    <col min="6855" max="6855" width="16" style="35" customWidth="1"/>
    <col min="6856" max="6857" width="11.42578125" style="35"/>
    <col min="6858" max="6858" width="13.140625" style="35" bestFit="1" customWidth="1"/>
    <col min="6859" max="7087" width="11.42578125" style="35"/>
    <col min="7088" max="7088" width="5.28515625" style="35" customWidth="1"/>
    <col min="7089" max="7089" width="26" style="35" customWidth="1"/>
    <col min="7090" max="7090" width="11.140625" style="35" customWidth="1"/>
    <col min="7091" max="7091" width="21.42578125" style="35" customWidth="1"/>
    <col min="7092" max="7092" width="2.140625" style="35" customWidth="1"/>
    <col min="7093" max="7095" width="2" style="35" customWidth="1"/>
    <col min="7096" max="7096" width="2.42578125" style="35" customWidth="1"/>
    <col min="7097" max="7097" width="2" style="35" customWidth="1"/>
    <col min="7098" max="7099" width="2.42578125" style="35" bestFit="1" customWidth="1"/>
    <col min="7100" max="7103" width="2" style="35" customWidth="1"/>
    <col min="7104" max="7104" width="11.7109375" style="35" customWidth="1"/>
    <col min="7105" max="7105" width="12.140625" style="35" customWidth="1"/>
    <col min="7106" max="7106" width="12.85546875" style="35" customWidth="1"/>
    <col min="7107" max="7107" width="14" style="35" customWidth="1"/>
    <col min="7108" max="7108" width="10.5703125" style="35" customWidth="1"/>
    <col min="7109" max="7109" width="12.140625" style="35" customWidth="1"/>
    <col min="7110" max="7110" width="7.42578125" style="35" customWidth="1"/>
    <col min="7111" max="7111" width="16" style="35" customWidth="1"/>
    <col min="7112" max="7113" width="11.42578125" style="35"/>
    <col min="7114" max="7114" width="13.140625" style="35" bestFit="1" customWidth="1"/>
    <col min="7115" max="7343" width="11.42578125" style="35"/>
    <col min="7344" max="7344" width="5.28515625" style="35" customWidth="1"/>
    <col min="7345" max="7345" width="26" style="35" customWidth="1"/>
    <col min="7346" max="7346" width="11.140625" style="35" customWidth="1"/>
    <col min="7347" max="7347" width="21.42578125" style="35" customWidth="1"/>
    <col min="7348" max="7348" width="2.140625" style="35" customWidth="1"/>
    <col min="7349" max="7351" width="2" style="35" customWidth="1"/>
    <col min="7352" max="7352" width="2.42578125" style="35" customWidth="1"/>
    <col min="7353" max="7353" width="2" style="35" customWidth="1"/>
    <col min="7354" max="7355" width="2.42578125" style="35" bestFit="1" customWidth="1"/>
    <col min="7356" max="7359" width="2" style="35" customWidth="1"/>
    <col min="7360" max="7360" width="11.7109375" style="35" customWidth="1"/>
    <col min="7361" max="7361" width="12.140625" style="35" customWidth="1"/>
    <col min="7362" max="7362" width="12.85546875" style="35" customWidth="1"/>
    <col min="7363" max="7363" width="14" style="35" customWidth="1"/>
    <col min="7364" max="7364" width="10.5703125" style="35" customWidth="1"/>
    <col min="7365" max="7365" width="12.140625" style="35" customWidth="1"/>
    <col min="7366" max="7366" width="7.42578125" style="35" customWidth="1"/>
    <col min="7367" max="7367" width="16" style="35" customWidth="1"/>
    <col min="7368" max="7369" width="11.42578125" style="35"/>
    <col min="7370" max="7370" width="13.140625" style="35" bestFit="1" customWidth="1"/>
    <col min="7371" max="7599" width="11.42578125" style="35"/>
    <col min="7600" max="7600" width="5.28515625" style="35" customWidth="1"/>
    <col min="7601" max="7601" width="26" style="35" customWidth="1"/>
    <col min="7602" max="7602" width="11.140625" style="35" customWidth="1"/>
    <col min="7603" max="7603" width="21.42578125" style="35" customWidth="1"/>
    <col min="7604" max="7604" width="2.140625" style="35" customWidth="1"/>
    <col min="7605" max="7607" width="2" style="35" customWidth="1"/>
    <col min="7608" max="7608" width="2.42578125" style="35" customWidth="1"/>
    <col min="7609" max="7609" width="2" style="35" customWidth="1"/>
    <col min="7610" max="7611" width="2.42578125" style="35" bestFit="1" customWidth="1"/>
    <col min="7612" max="7615" width="2" style="35" customWidth="1"/>
    <col min="7616" max="7616" width="11.7109375" style="35" customWidth="1"/>
    <col min="7617" max="7617" width="12.140625" style="35" customWidth="1"/>
    <col min="7618" max="7618" width="12.85546875" style="35" customWidth="1"/>
    <col min="7619" max="7619" width="14" style="35" customWidth="1"/>
    <col min="7620" max="7620" width="10.5703125" style="35" customWidth="1"/>
    <col min="7621" max="7621" width="12.140625" style="35" customWidth="1"/>
    <col min="7622" max="7622" width="7.42578125" style="35" customWidth="1"/>
    <col min="7623" max="7623" width="16" style="35" customWidth="1"/>
    <col min="7624" max="7625" width="11.42578125" style="35"/>
    <col min="7626" max="7626" width="13.140625" style="35" bestFit="1" customWidth="1"/>
    <col min="7627" max="7855" width="11.42578125" style="35"/>
    <col min="7856" max="7856" width="5.28515625" style="35" customWidth="1"/>
    <col min="7857" max="7857" width="26" style="35" customWidth="1"/>
    <col min="7858" max="7858" width="11.140625" style="35" customWidth="1"/>
    <col min="7859" max="7859" width="21.42578125" style="35" customWidth="1"/>
    <col min="7860" max="7860" width="2.140625" style="35" customWidth="1"/>
    <col min="7861" max="7863" width="2" style="35" customWidth="1"/>
    <col min="7864" max="7864" width="2.42578125" style="35" customWidth="1"/>
    <col min="7865" max="7865" width="2" style="35" customWidth="1"/>
    <col min="7866" max="7867" width="2.42578125" style="35" bestFit="1" customWidth="1"/>
    <col min="7868" max="7871" width="2" style="35" customWidth="1"/>
    <col min="7872" max="7872" width="11.7109375" style="35" customWidth="1"/>
    <col min="7873" max="7873" width="12.140625" style="35" customWidth="1"/>
    <col min="7874" max="7874" width="12.85546875" style="35" customWidth="1"/>
    <col min="7875" max="7875" width="14" style="35" customWidth="1"/>
    <col min="7876" max="7876" width="10.5703125" style="35" customWidth="1"/>
    <col min="7877" max="7877" width="12.140625" style="35" customWidth="1"/>
    <col min="7878" max="7878" width="7.42578125" style="35" customWidth="1"/>
    <col min="7879" max="7879" width="16" style="35" customWidth="1"/>
    <col min="7880" max="7881" width="11.42578125" style="35"/>
    <col min="7882" max="7882" width="13.140625" style="35" bestFit="1" customWidth="1"/>
    <col min="7883" max="8111" width="11.42578125" style="35"/>
    <col min="8112" max="8112" width="5.28515625" style="35" customWidth="1"/>
    <col min="8113" max="8113" width="26" style="35" customWidth="1"/>
    <col min="8114" max="8114" width="11.140625" style="35" customWidth="1"/>
    <col min="8115" max="8115" width="21.42578125" style="35" customWidth="1"/>
    <col min="8116" max="8116" width="2.140625" style="35" customWidth="1"/>
    <col min="8117" max="8119" width="2" style="35" customWidth="1"/>
    <col min="8120" max="8120" width="2.42578125" style="35" customWidth="1"/>
    <col min="8121" max="8121" width="2" style="35" customWidth="1"/>
    <col min="8122" max="8123" width="2.42578125" style="35" bestFit="1" customWidth="1"/>
    <col min="8124" max="8127" width="2" style="35" customWidth="1"/>
    <col min="8128" max="8128" width="11.7109375" style="35" customWidth="1"/>
    <col min="8129" max="8129" width="12.140625" style="35" customWidth="1"/>
    <col min="8130" max="8130" width="12.85546875" style="35" customWidth="1"/>
    <col min="8131" max="8131" width="14" style="35" customWidth="1"/>
    <col min="8132" max="8132" width="10.5703125" style="35" customWidth="1"/>
    <col min="8133" max="8133" width="12.140625" style="35" customWidth="1"/>
    <col min="8134" max="8134" width="7.42578125" style="35" customWidth="1"/>
    <col min="8135" max="8135" width="16" style="35" customWidth="1"/>
    <col min="8136" max="8137" width="11.42578125" style="35"/>
    <col min="8138" max="8138" width="13.140625" style="35" bestFit="1" customWidth="1"/>
    <col min="8139" max="8367" width="11.42578125" style="35"/>
    <col min="8368" max="8368" width="5.28515625" style="35" customWidth="1"/>
    <col min="8369" max="8369" width="26" style="35" customWidth="1"/>
    <col min="8370" max="8370" width="11.140625" style="35" customWidth="1"/>
    <col min="8371" max="8371" width="21.42578125" style="35" customWidth="1"/>
    <col min="8372" max="8372" width="2.140625" style="35" customWidth="1"/>
    <col min="8373" max="8375" width="2" style="35" customWidth="1"/>
    <col min="8376" max="8376" width="2.42578125" style="35" customWidth="1"/>
    <col min="8377" max="8377" width="2" style="35" customWidth="1"/>
    <col min="8378" max="8379" width="2.42578125" style="35" bestFit="1" customWidth="1"/>
    <col min="8380" max="8383" width="2" style="35" customWidth="1"/>
    <col min="8384" max="8384" width="11.7109375" style="35" customWidth="1"/>
    <col min="8385" max="8385" width="12.140625" style="35" customWidth="1"/>
    <col min="8386" max="8386" width="12.85546875" style="35" customWidth="1"/>
    <col min="8387" max="8387" width="14" style="35" customWidth="1"/>
    <col min="8388" max="8388" width="10.5703125" style="35" customWidth="1"/>
    <col min="8389" max="8389" width="12.140625" style="35" customWidth="1"/>
    <col min="8390" max="8390" width="7.42578125" style="35" customWidth="1"/>
    <col min="8391" max="8391" width="16" style="35" customWidth="1"/>
    <col min="8392" max="8393" width="11.42578125" style="35"/>
    <col min="8394" max="8394" width="13.140625" style="35" bestFit="1" customWidth="1"/>
    <col min="8395" max="8623" width="11.42578125" style="35"/>
    <col min="8624" max="8624" width="5.28515625" style="35" customWidth="1"/>
    <col min="8625" max="8625" width="26" style="35" customWidth="1"/>
    <col min="8626" max="8626" width="11.140625" style="35" customWidth="1"/>
    <col min="8627" max="8627" width="21.42578125" style="35" customWidth="1"/>
    <col min="8628" max="8628" width="2.140625" style="35" customWidth="1"/>
    <col min="8629" max="8631" width="2" style="35" customWidth="1"/>
    <col min="8632" max="8632" width="2.42578125" style="35" customWidth="1"/>
    <col min="8633" max="8633" width="2" style="35" customWidth="1"/>
    <col min="8634" max="8635" width="2.42578125" style="35" bestFit="1" customWidth="1"/>
    <col min="8636" max="8639" width="2" style="35" customWidth="1"/>
    <col min="8640" max="8640" width="11.7109375" style="35" customWidth="1"/>
    <col min="8641" max="8641" width="12.140625" style="35" customWidth="1"/>
    <col min="8642" max="8642" width="12.85546875" style="35" customWidth="1"/>
    <col min="8643" max="8643" width="14" style="35" customWidth="1"/>
    <col min="8644" max="8644" width="10.5703125" style="35" customWidth="1"/>
    <col min="8645" max="8645" width="12.140625" style="35" customWidth="1"/>
    <col min="8646" max="8646" width="7.42578125" style="35" customWidth="1"/>
    <col min="8647" max="8647" width="16" style="35" customWidth="1"/>
    <col min="8648" max="8649" width="11.42578125" style="35"/>
    <col min="8650" max="8650" width="13.140625" style="35" bestFit="1" customWidth="1"/>
    <col min="8651" max="8879" width="11.42578125" style="35"/>
    <col min="8880" max="8880" width="5.28515625" style="35" customWidth="1"/>
    <col min="8881" max="8881" width="26" style="35" customWidth="1"/>
    <col min="8882" max="8882" width="11.140625" style="35" customWidth="1"/>
    <col min="8883" max="8883" width="21.42578125" style="35" customWidth="1"/>
    <col min="8884" max="8884" width="2.140625" style="35" customWidth="1"/>
    <col min="8885" max="8887" width="2" style="35" customWidth="1"/>
    <col min="8888" max="8888" width="2.42578125" style="35" customWidth="1"/>
    <col min="8889" max="8889" width="2" style="35" customWidth="1"/>
    <col min="8890" max="8891" width="2.42578125" style="35" bestFit="1" customWidth="1"/>
    <col min="8892" max="8895" width="2" style="35" customWidth="1"/>
    <col min="8896" max="8896" width="11.7109375" style="35" customWidth="1"/>
    <col min="8897" max="8897" width="12.140625" style="35" customWidth="1"/>
    <col min="8898" max="8898" width="12.85546875" style="35" customWidth="1"/>
    <col min="8899" max="8899" width="14" style="35" customWidth="1"/>
    <col min="8900" max="8900" width="10.5703125" style="35" customWidth="1"/>
    <col min="8901" max="8901" width="12.140625" style="35" customWidth="1"/>
    <col min="8902" max="8902" width="7.42578125" style="35" customWidth="1"/>
    <col min="8903" max="8903" width="16" style="35" customWidth="1"/>
    <col min="8904" max="8905" width="11.42578125" style="35"/>
    <col min="8906" max="8906" width="13.140625" style="35" bestFit="1" customWidth="1"/>
    <col min="8907" max="9135" width="11.42578125" style="35"/>
    <col min="9136" max="9136" width="5.28515625" style="35" customWidth="1"/>
    <col min="9137" max="9137" width="26" style="35" customWidth="1"/>
    <col min="9138" max="9138" width="11.140625" style="35" customWidth="1"/>
    <col min="9139" max="9139" width="21.42578125" style="35" customWidth="1"/>
    <col min="9140" max="9140" width="2.140625" style="35" customWidth="1"/>
    <col min="9141" max="9143" width="2" style="35" customWidth="1"/>
    <col min="9144" max="9144" width="2.42578125" style="35" customWidth="1"/>
    <col min="9145" max="9145" width="2" style="35" customWidth="1"/>
    <col min="9146" max="9147" width="2.42578125" style="35" bestFit="1" customWidth="1"/>
    <col min="9148" max="9151" width="2" style="35" customWidth="1"/>
    <col min="9152" max="9152" width="11.7109375" style="35" customWidth="1"/>
    <col min="9153" max="9153" width="12.140625" style="35" customWidth="1"/>
    <col min="9154" max="9154" width="12.85546875" style="35" customWidth="1"/>
    <col min="9155" max="9155" width="14" style="35" customWidth="1"/>
    <col min="9156" max="9156" width="10.5703125" style="35" customWidth="1"/>
    <col min="9157" max="9157" width="12.140625" style="35" customWidth="1"/>
    <col min="9158" max="9158" width="7.42578125" style="35" customWidth="1"/>
    <col min="9159" max="9159" width="16" style="35" customWidth="1"/>
    <col min="9160" max="9161" width="11.42578125" style="35"/>
    <col min="9162" max="9162" width="13.140625" style="35" bestFit="1" customWidth="1"/>
    <col min="9163" max="9391" width="11.42578125" style="35"/>
    <col min="9392" max="9392" width="5.28515625" style="35" customWidth="1"/>
    <col min="9393" max="9393" width="26" style="35" customWidth="1"/>
    <col min="9394" max="9394" width="11.140625" style="35" customWidth="1"/>
    <col min="9395" max="9395" width="21.42578125" style="35" customWidth="1"/>
    <col min="9396" max="9396" width="2.140625" style="35" customWidth="1"/>
    <col min="9397" max="9399" width="2" style="35" customWidth="1"/>
    <col min="9400" max="9400" width="2.42578125" style="35" customWidth="1"/>
    <col min="9401" max="9401" width="2" style="35" customWidth="1"/>
    <col min="9402" max="9403" width="2.42578125" style="35" bestFit="1" customWidth="1"/>
    <col min="9404" max="9407" width="2" style="35" customWidth="1"/>
    <col min="9408" max="9408" width="11.7109375" style="35" customWidth="1"/>
    <col min="9409" max="9409" width="12.140625" style="35" customWidth="1"/>
    <col min="9410" max="9410" width="12.85546875" style="35" customWidth="1"/>
    <col min="9411" max="9411" width="14" style="35" customWidth="1"/>
    <col min="9412" max="9412" width="10.5703125" style="35" customWidth="1"/>
    <col min="9413" max="9413" width="12.140625" style="35" customWidth="1"/>
    <col min="9414" max="9414" width="7.42578125" style="35" customWidth="1"/>
    <col min="9415" max="9415" width="16" style="35" customWidth="1"/>
    <col min="9416" max="9417" width="11.42578125" style="35"/>
    <col min="9418" max="9418" width="13.140625" style="35" bestFit="1" customWidth="1"/>
    <col min="9419" max="9647" width="11.42578125" style="35"/>
    <col min="9648" max="9648" width="5.28515625" style="35" customWidth="1"/>
    <col min="9649" max="9649" width="26" style="35" customWidth="1"/>
    <col min="9650" max="9650" width="11.140625" style="35" customWidth="1"/>
    <col min="9651" max="9651" width="21.42578125" style="35" customWidth="1"/>
    <col min="9652" max="9652" width="2.140625" style="35" customWidth="1"/>
    <col min="9653" max="9655" width="2" style="35" customWidth="1"/>
    <col min="9656" max="9656" width="2.42578125" style="35" customWidth="1"/>
    <col min="9657" max="9657" width="2" style="35" customWidth="1"/>
    <col min="9658" max="9659" width="2.42578125" style="35" bestFit="1" customWidth="1"/>
    <col min="9660" max="9663" width="2" style="35" customWidth="1"/>
    <col min="9664" max="9664" width="11.7109375" style="35" customWidth="1"/>
    <col min="9665" max="9665" width="12.140625" style="35" customWidth="1"/>
    <col min="9666" max="9666" width="12.85546875" style="35" customWidth="1"/>
    <col min="9667" max="9667" width="14" style="35" customWidth="1"/>
    <col min="9668" max="9668" width="10.5703125" style="35" customWidth="1"/>
    <col min="9669" max="9669" width="12.140625" style="35" customWidth="1"/>
    <col min="9670" max="9670" width="7.42578125" style="35" customWidth="1"/>
    <col min="9671" max="9671" width="16" style="35" customWidth="1"/>
    <col min="9672" max="9673" width="11.42578125" style="35"/>
    <col min="9674" max="9674" width="13.140625" style="35" bestFit="1" customWidth="1"/>
    <col min="9675" max="9903" width="11.42578125" style="35"/>
    <col min="9904" max="9904" width="5.28515625" style="35" customWidth="1"/>
    <col min="9905" max="9905" width="26" style="35" customWidth="1"/>
    <col min="9906" max="9906" width="11.140625" style="35" customWidth="1"/>
    <col min="9907" max="9907" width="21.42578125" style="35" customWidth="1"/>
    <col min="9908" max="9908" width="2.140625" style="35" customWidth="1"/>
    <col min="9909" max="9911" width="2" style="35" customWidth="1"/>
    <col min="9912" max="9912" width="2.42578125" style="35" customWidth="1"/>
    <col min="9913" max="9913" width="2" style="35" customWidth="1"/>
    <col min="9914" max="9915" width="2.42578125" style="35" bestFit="1" customWidth="1"/>
    <col min="9916" max="9919" width="2" style="35" customWidth="1"/>
    <col min="9920" max="9920" width="11.7109375" style="35" customWidth="1"/>
    <col min="9921" max="9921" width="12.140625" style="35" customWidth="1"/>
    <col min="9922" max="9922" width="12.85546875" style="35" customWidth="1"/>
    <col min="9923" max="9923" width="14" style="35" customWidth="1"/>
    <col min="9924" max="9924" width="10.5703125" style="35" customWidth="1"/>
    <col min="9925" max="9925" width="12.140625" style="35" customWidth="1"/>
    <col min="9926" max="9926" width="7.42578125" style="35" customWidth="1"/>
    <col min="9927" max="9927" width="16" style="35" customWidth="1"/>
    <col min="9928" max="9929" width="11.42578125" style="35"/>
    <col min="9930" max="9930" width="13.140625" style="35" bestFit="1" customWidth="1"/>
    <col min="9931" max="10159" width="11.42578125" style="35"/>
    <col min="10160" max="10160" width="5.28515625" style="35" customWidth="1"/>
    <col min="10161" max="10161" width="26" style="35" customWidth="1"/>
    <col min="10162" max="10162" width="11.140625" style="35" customWidth="1"/>
    <col min="10163" max="10163" width="21.42578125" style="35" customWidth="1"/>
    <col min="10164" max="10164" width="2.140625" style="35" customWidth="1"/>
    <col min="10165" max="10167" width="2" style="35" customWidth="1"/>
    <col min="10168" max="10168" width="2.42578125" style="35" customWidth="1"/>
    <col min="10169" max="10169" width="2" style="35" customWidth="1"/>
    <col min="10170" max="10171" width="2.42578125" style="35" bestFit="1" customWidth="1"/>
    <col min="10172" max="10175" width="2" style="35" customWidth="1"/>
    <col min="10176" max="10176" width="11.7109375" style="35" customWidth="1"/>
    <col min="10177" max="10177" width="12.140625" style="35" customWidth="1"/>
    <col min="10178" max="10178" width="12.85546875" style="35" customWidth="1"/>
    <col min="10179" max="10179" width="14" style="35" customWidth="1"/>
    <col min="10180" max="10180" width="10.5703125" style="35" customWidth="1"/>
    <col min="10181" max="10181" width="12.140625" style="35" customWidth="1"/>
    <col min="10182" max="10182" width="7.42578125" style="35" customWidth="1"/>
    <col min="10183" max="10183" width="16" style="35" customWidth="1"/>
    <col min="10184" max="10185" width="11.42578125" style="35"/>
    <col min="10186" max="10186" width="13.140625" style="35" bestFit="1" customWidth="1"/>
    <col min="10187" max="10415" width="11.42578125" style="35"/>
    <col min="10416" max="10416" width="5.28515625" style="35" customWidth="1"/>
    <col min="10417" max="10417" width="26" style="35" customWidth="1"/>
    <col min="10418" max="10418" width="11.140625" style="35" customWidth="1"/>
    <col min="10419" max="10419" width="21.42578125" style="35" customWidth="1"/>
    <col min="10420" max="10420" width="2.140625" style="35" customWidth="1"/>
    <col min="10421" max="10423" width="2" style="35" customWidth="1"/>
    <col min="10424" max="10424" width="2.42578125" style="35" customWidth="1"/>
    <col min="10425" max="10425" width="2" style="35" customWidth="1"/>
    <col min="10426" max="10427" width="2.42578125" style="35" bestFit="1" customWidth="1"/>
    <col min="10428" max="10431" width="2" style="35" customWidth="1"/>
    <col min="10432" max="10432" width="11.7109375" style="35" customWidth="1"/>
    <col min="10433" max="10433" width="12.140625" style="35" customWidth="1"/>
    <col min="10434" max="10434" width="12.85546875" style="35" customWidth="1"/>
    <col min="10435" max="10435" width="14" style="35" customWidth="1"/>
    <col min="10436" max="10436" width="10.5703125" style="35" customWidth="1"/>
    <col min="10437" max="10437" width="12.140625" style="35" customWidth="1"/>
    <col min="10438" max="10438" width="7.42578125" style="35" customWidth="1"/>
    <col min="10439" max="10439" width="16" style="35" customWidth="1"/>
    <col min="10440" max="10441" width="11.42578125" style="35"/>
    <col min="10442" max="10442" width="13.140625" style="35" bestFit="1" customWidth="1"/>
    <col min="10443" max="10671" width="11.42578125" style="35"/>
    <col min="10672" max="10672" width="5.28515625" style="35" customWidth="1"/>
    <col min="10673" max="10673" width="26" style="35" customWidth="1"/>
    <col min="10674" max="10674" width="11.140625" style="35" customWidth="1"/>
    <col min="10675" max="10675" width="21.42578125" style="35" customWidth="1"/>
    <col min="10676" max="10676" width="2.140625" style="35" customWidth="1"/>
    <col min="10677" max="10679" width="2" style="35" customWidth="1"/>
    <col min="10680" max="10680" width="2.42578125" style="35" customWidth="1"/>
    <col min="10681" max="10681" width="2" style="35" customWidth="1"/>
    <col min="10682" max="10683" width="2.42578125" style="35" bestFit="1" customWidth="1"/>
    <col min="10684" max="10687" width="2" style="35" customWidth="1"/>
    <col min="10688" max="10688" width="11.7109375" style="35" customWidth="1"/>
    <col min="10689" max="10689" width="12.140625" style="35" customWidth="1"/>
    <col min="10690" max="10690" width="12.85546875" style="35" customWidth="1"/>
    <col min="10691" max="10691" width="14" style="35" customWidth="1"/>
    <col min="10692" max="10692" width="10.5703125" style="35" customWidth="1"/>
    <col min="10693" max="10693" width="12.140625" style="35" customWidth="1"/>
    <col min="10694" max="10694" width="7.42578125" style="35" customWidth="1"/>
    <col min="10695" max="10695" width="16" style="35" customWidth="1"/>
    <col min="10696" max="10697" width="11.42578125" style="35"/>
    <col min="10698" max="10698" width="13.140625" style="35" bestFit="1" customWidth="1"/>
    <col min="10699" max="10927" width="11.42578125" style="35"/>
    <col min="10928" max="10928" width="5.28515625" style="35" customWidth="1"/>
    <col min="10929" max="10929" width="26" style="35" customWidth="1"/>
    <col min="10930" max="10930" width="11.140625" style="35" customWidth="1"/>
    <col min="10931" max="10931" width="21.42578125" style="35" customWidth="1"/>
    <col min="10932" max="10932" width="2.140625" style="35" customWidth="1"/>
    <col min="10933" max="10935" width="2" style="35" customWidth="1"/>
    <col min="10936" max="10936" width="2.42578125" style="35" customWidth="1"/>
    <col min="10937" max="10937" width="2" style="35" customWidth="1"/>
    <col min="10938" max="10939" width="2.42578125" style="35" bestFit="1" customWidth="1"/>
    <col min="10940" max="10943" width="2" style="35" customWidth="1"/>
    <col min="10944" max="10944" width="11.7109375" style="35" customWidth="1"/>
    <col min="10945" max="10945" width="12.140625" style="35" customWidth="1"/>
    <col min="10946" max="10946" width="12.85546875" style="35" customWidth="1"/>
    <col min="10947" max="10947" width="14" style="35" customWidth="1"/>
    <col min="10948" max="10948" width="10.5703125" style="35" customWidth="1"/>
    <col min="10949" max="10949" width="12.140625" style="35" customWidth="1"/>
    <col min="10950" max="10950" width="7.42578125" style="35" customWidth="1"/>
    <col min="10951" max="10951" width="16" style="35" customWidth="1"/>
    <col min="10952" max="10953" width="11.42578125" style="35"/>
    <col min="10954" max="10954" width="13.140625" style="35" bestFit="1" customWidth="1"/>
    <col min="10955" max="11183" width="11.42578125" style="35"/>
    <col min="11184" max="11184" width="5.28515625" style="35" customWidth="1"/>
    <col min="11185" max="11185" width="26" style="35" customWidth="1"/>
    <col min="11186" max="11186" width="11.140625" style="35" customWidth="1"/>
    <col min="11187" max="11187" width="21.42578125" style="35" customWidth="1"/>
    <col min="11188" max="11188" width="2.140625" style="35" customWidth="1"/>
    <col min="11189" max="11191" width="2" style="35" customWidth="1"/>
    <col min="11192" max="11192" width="2.42578125" style="35" customWidth="1"/>
    <col min="11193" max="11193" width="2" style="35" customWidth="1"/>
    <col min="11194" max="11195" width="2.42578125" style="35" bestFit="1" customWidth="1"/>
    <col min="11196" max="11199" width="2" style="35" customWidth="1"/>
    <col min="11200" max="11200" width="11.7109375" style="35" customWidth="1"/>
    <col min="11201" max="11201" width="12.140625" style="35" customWidth="1"/>
    <col min="11202" max="11202" width="12.85546875" style="35" customWidth="1"/>
    <col min="11203" max="11203" width="14" style="35" customWidth="1"/>
    <col min="11204" max="11204" width="10.5703125" style="35" customWidth="1"/>
    <col min="11205" max="11205" width="12.140625" style="35" customWidth="1"/>
    <col min="11206" max="11206" width="7.42578125" style="35" customWidth="1"/>
    <col min="11207" max="11207" width="16" style="35" customWidth="1"/>
    <col min="11208" max="11209" width="11.42578125" style="35"/>
    <col min="11210" max="11210" width="13.140625" style="35" bestFit="1" customWidth="1"/>
    <col min="11211" max="11439" width="11.42578125" style="35"/>
    <col min="11440" max="11440" width="5.28515625" style="35" customWidth="1"/>
    <col min="11441" max="11441" width="26" style="35" customWidth="1"/>
    <col min="11442" max="11442" width="11.140625" style="35" customWidth="1"/>
    <col min="11443" max="11443" width="21.42578125" style="35" customWidth="1"/>
    <col min="11444" max="11444" width="2.140625" style="35" customWidth="1"/>
    <col min="11445" max="11447" width="2" style="35" customWidth="1"/>
    <col min="11448" max="11448" width="2.42578125" style="35" customWidth="1"/>
    <col min="11449" max="11449" width="2" style="35" customWidth="1"/>
    <col min="11450" max="11451" width="2.42578125" style="35" bestFit="1" customWidth="1"/>
    <col min="11452" max="11455" width="2" style="35" customWidth="1"/>
    <col min="11456" max="11456" width="11.7109375" style="35" customWidth="1"/>
    <col min="11457" max="11457" width="12.140625" style="35" customWidth="1"/>
    <col min="11458" max="11458" width="12.85546875" style="35" customWidth="1"/>
    <col min="11459" max="11459" width="14" style="35" customWidth="1"/>
    <col min="11460" max="11460" width="10.5703125" style="35" customWidth="1"/>
    <col min="11461" max="11461" width="12.140625" style="35" customWidth="1"/>
    <col min="11462" max="11462" width="7.42578125" style="35" customWidth="1"/>
    <col min="11463" max="11463" width="16" style="35" customWidth="1"/>
    <col min="11464" max="11465" width="11.42578125" style="35"/>
    <col min="11466" max="11466" width="13.140625" style="35" bestFit="1" customWidth="1"/>
    <col min="11467" max="11695" width="11.42578125" style="35"/>
    <col min="11696" max="11696" width="5.28515625" style="35" customWidth="1"/>
    <col min="11697" max="11697" width="26" style="35" customWidth="1"/>
    <col min="11698" max="11698" width="11.140625" style="35" customWidth="1"/>
    <col min="11699" max="11699" width="21.42578125" style="35" customWidth="1"/>
    <col min="11700" max="11700" width="2.140625" style="35" customWidth="1"/>
    <col min="11701" max="11703" width="2" style="35" customWidth="1"/>
    <col min="11704" max="11704" width="2.42578125" style="35" customWidth="1"/>
    <col min="11705" max="11705" width="2" style="35" customWidth="1"/>
    <col min="11706" max="11707" width="2.42578125" style="35" bestFit="1" customWidth="1"/>
    <col min="11708" max="11711" width="2" style="35" customWidth="1"/>
    <col min="11712" max="11712" width="11.7109375" style="35" customWidth="1"/>
    <col min="11713" max="11713" width="12.140625" style="35" customWidth="1"/>
    <col min="11714" max="11714" width="12.85546875" style="35" customWidth="1"/>
    <col min="11715" max="11715" width="14" style="35" customWidth="1"/>
    <col min="11716" max="11716" width="10.5703125" style="35" customWidth="1"/>
    <col min="11717" max="11717" width="12.140625" style="35" customWidth="1"/>
    <col min="11718" max="11718" width="7.42578125" style="35" customWidth="1"/>
    <col min="11719" max="11719" width="16" style="35" customWidth="1"/>
    <col min="11720" max="11721" width="11.42578125" style="35"/>
    <col min="11722" max="11722" width="13.140625" style="35" bestFit="1" customWidth="1"/>
    <col min="11723" max="11951" width="11.42578125" style="35"/>
    <col min="11952" max="11952" width="5.28515625" style="35" customWidth="1"/>
    <col min="11953" max="11953" width="26" style="35" customWidth="1"/>
    <col min="11954" max="11954" width="11.140625" style="35" customWidth="1"/>
    <col min="11955" max="11955" width="21.42578125" style="35" customWidth="1"/>
    <col min="11956" max="11956" width="2.140625" style="35" customWidth="1"/>
    <col min="11957" max="11959" width="2" style="35" customWidth="1"/>
    <col min="11960" max="11960" width="2.42578125" style="35" customWidth="1"/>
    <col min="11961" max="11961" width="2" style="35" customWidth="1"/>
    <col min="11962" max="11963" width="2.42578125" style="35" bestFit="1" customWidth="1"/>
    <col min="11964" max="11967" width="2" style="35" customWidth="1"/>
    <col min="11968" max="11968" width="11.7109375" style="35" customWidth="1"/>
    <col min="11969" max="11969" width="12.140625" style="35" customWidth="1"/>
    <col min="11970" max="11970" width="12.85546875" style="35" customWidth="1"/>
    <col min="11971" max="11971" width="14" style="35" customWidth="1"/>
    <col min="11972" max="11972" width="10.5703125" style="35" customWidth="1"/>
    <col min="11973" max="11973" width="12.140625" style="35" customWidth="1"/>
    <col min="11974" max="11974" width="7.42578125" style="35" customWidth="1"/>
    <col min="11975" max="11975" width="16" style="35" customWidth="1"/>
    <col min="11976" max="11977" width="11.42578125" style="35"/>
    <col min="11978" max="11978" width="13.140625" style="35" bestFit="1" customWidth="1"/>
    <col min="11979" max="12207" width="11.42578125" style="35"/>
    <col min="12208" max="12208" width="5.28515625" style="35" customWidth="1"/>
    <col min="12209" max="12209" width="26" style="35" customWidth="1"/>
    <col min="12210" max="12210" width="11.140625" style="35" customWidth="1"/>
    <col min="12211" max="12211" width="21.42578125" style="35" customWidth="1"/>
    <col min="12212" max="12212" width="2.140625" style="35" customWidth="1"/>
    <col min="12213" max="12215" width="2" style="35" customWidth="1"/>
    <col min="12216" max="12216" width="2.42578125" style="35" customWidth="1"/>
    <col min="12217" max="12217" width="2" style="35" customWidth="1"/>
    <col min="12218" max="12219" width="2.42578125" style="35" bestFit="1" customWidth="1"/>
    <col min="12220" max="12223" width="2" style="35" customWidth="1"/>
    <col min="12224" max="12224" width="11.7109375" style="35" customWidth="1"/>
    <col min="12225" max="12225" width="12.140625" style="35" customWidth="1"/>
    <col min="12226" max="12226" width="12.85546875" style="35" customWidth="1"/>
    <col min="12227" max="12227" width="14" style="35" customWidth="1"/>
    <col min="12228" max="12228" width="10.5703125" style="35" customWidth="1"/>
    <col min="12229" max="12229" width="12.140625" style="35" customWidth="1"/>
    <col min="12230" max="12230" width="7.42578125" style="35" customWidth="1"/>
    <col min="12231" max="12231" width="16" style="35" customWidth="1"/>
    <col min="12232" max="12233" width="11.42578125" style="35"/>
    <col min="12234" max="12234" width="13.140625" style="35" bestFit="1" customWidth="1"/>
    <col min="12235" max="12463" width="11.42578125" style="35"/>
    <col min="12464" max="12464" width="5.28515625" style="35" customWidth="1"/>
    <col min="12465" max="12465" width="26" style="35" customWidth="1"/>
    <col min="12466" max="12466" width="11.140625" style="35" customWidth="1"/>
    <col min="12467" max="12467" width="21.42578125" style="35" customWidth="1"/>
    <col min="12468" max="12468" width="2.140625" style="35" customWidth="1"/>
    <col min="12469" max="12471" width="2" style="35" customWidth="1"/>
    <col min="12472" max="12472" width="2.42578125" style="35" customWidth="1"/>
    <col min="12473" max="12473" width="2" style="35" customWidth="1"/>
    <col min="12474" max="12475" width="2.42578125" style="35" bestFit="1" customWidth="1"/>
    <col min="12476" max="12479" width="2" style="35" customWidth="1"/>
    <col min="12480" max="12480" width="11.7109375" style="35" customWidth="1"/>
    <col min="12481" max="12481" width="12.140625" style="35" customWidth="1"/>
    <col min="12482" max="12482" width="12.85546875" style="35" customWidth="1"/>
    <col min="12483" max="12483" width="14" style="35" customWidth="1"/>
    <col min="12484" max="12484" width="10.5703125" style="35" customWidth="1"/>
    <col min="12485" max="12485" width="12.140625" style="35" customWidth="1"/>
    <col min="12486" max="12486" width="7.42578125" style="35" customWidth="1"/>
    <col min="12487" max="12487" width="16" style="35" customWidth="1"/>
    <col min="12488" max="12489" width="11.42578125" style="35"/>
    <col min="12490" max="12490" width="13.140625" style="35" bestFit="1" customWidth="1"/>
    <col min="12491" max="12719" width="11.42578125" style="35"/>
    <col min="12720" max="12720" width="5.28515625" style="35" customWidth="1"/>
    <col min="12721" max="12721" width="26" style="35" customWidth="1"/>
    <col min="12722" max="12722" width="11.140625" style="35" customWidth="1"/>
    <col min="12723" max="12723" width="21.42578125" style="35" customWidth="1"/>
    <col min="12724" max="12724" width="2.140625" style="35" customWidth="1"/>
    <col min="12725" max="12727" width="2" style="35" customWidth="1"/>
    <col min="12728" max="12728" width="2.42578125" style="35" customWidth="1"/>
    <col min="12729" max="12729" width="2" style="35" customWidth="1"/>
    <col min="12730" max="12731" width="2.42578125" style="35" bestFit="1" customWidth="1"/>
    <col min="12732" max="12735" width="2" style="35" customWidth="1"/>
    <col min="12736" max="12736" width="11.7109375" style="35" customWidth="1"/>
    <col min="12737" max="12737" width="12.140625" style="35" customWidth="1"/>
    <col min="12738" max="12738" width="12.85546875" style="35" customWidth="1"/>
    <col min="12739" max="12739" width="14" style="35" customWidth="1"/>
    <col min="12740" max="12740" width="10.5703125" style="35" customWidth="1"/>
    <col min="12741" max="12741" width="12.140625" style="35" customWidth="1"/>
    <col min="12742" max="12742" width="7.42578125" style="35" customWidth="1"/>
    <col min="12743" max="12743" width="16" style="35" customWidth="1"/>
    <col min="12744" max="12745" width="11.42578125" style="35"/>
    <col min="12746" max="12746" width="13.140625" style="35" bestFit="1" customWidth="1"/>
    <col min="12747" max="12975" width="11.42578125" style="35"/>
    <col min="12976" max="12976" width="5.28515625" style="35" customWidth="1"/>
    <col min="12977" max="12977" width="26" style="35" customWidth="1"/>
    <col min="12978" max="12978" width="11.140625" style="35" customWidth="1"/>
    <col min="12979" max="12979" width="21.42578125" style="35" customWidth="1"/>
    <col min="12980" max="12980" width="2.140625" style="35" customWidth="1"/>
    <col min="12981" max="12983" width="2" style="35" customWidth="1"/>
    <col min="12984" max="12984" width="2.42578125" style="35" customWidth="1"/>
    <col min="12985" max="12985" width="2" style="35" customWidth="1"/>
    <col min="12986" max="12987" width="2.42578125" style="35" bestFit="1" customWidth="1"/>
    <col min="12988" max="12991" width="2" style="35" customWidth="1"/>
    <col min="12992" max="12992" width="11.7109375" style="35" customWidth="1"/>
    <col min="12993" max="12993" width="12.140625" style="35" customWidth="1"/>
    <col min="12994" max="12994" width="12.85546875" style="35" customWidth="1"/>
    <col min="12995" max="12995" width="14" style="35" customWidth="1"/>
    <col min="12996" max="12996" width="10.5703125" style="35" customWidth="1"/>
    <col min="12997" max="12997" width="12.140625" style="35" customWidth="1"/>
    <col min="12998" max="12998" width="7.42578125" style="35" customWidth="1"/>
    <col min="12999" max="12999" width="16" style="35" customWidth="1"/>
    <col min="13000" max="13001" width="11.42578125" style="35"/>
    <col min="13002" max="13002" width="13.140625" style="35" bestFit="1" customWidth="1"/>
    <col min="13003" max="13231" width="11.42578125" style="35"/>
    <col min="13232" max="13232" width="5.28515625" style="35" customWidth="1"/>
    <col min="13233" max="13233" width="26" style="35" customWidth="1"/>
    <col min="13234" max="13234" width="11.140625" style="35" customWidth="1"/>
    <col min="13235" max="13235" width="21.42578125" style="35" customWidth="1"/>
    <col min="13236" max="13236" width="2.140625" style="35" customWidth="1"/>
    <col min="13237" max="13239" width="2" style="35" customWidth="1"/>
    <col min="13240" max="13240" width="2.42578125" style="35" customWidth="1"/>
    <col min="13241" max="13241" width="2" style="35" customWidth="1"/>
    <col min="13242" max="13243" width="2.42578125" style="35" bestFit="1" customWidth="1"/>
    <col min="13244" max="13247" width="2" style="35" customWidth="1"/>
    <col min="13248" max="13248" width="11.7109375" style="35" customWidth="1"/>
    <col min="13249" max="13249" width="12.140625" style="35" customWidth="1"/>
    <col min="13250" max="13250" width="12.85546875" style="35" customWidth="1"/>
    <col min="13251" max="13251" width="14" style="35" customWidth="1"/>
    <col min="13252" max="13252" width="10.5703125" style="35" customWidth="1"/>
    <col min="13253" max="13253" width="12.140625" style="35" customWidth="1"/>
    <col min="13254" max="13254" width="7.42578125" style="35" customWidth="1"/>
    <col min="13255" max="13255" width="16" style="35" customWidth="1"/>
    <col min="13256" max="13257" width="11.42578125" style="35"/>
    <col min="13258" max="13258" width="13.140625" style="35" bestFit="1" customWidth="1"/>
    <col min="13259" max="13487" width="11.42578125" style="35"/>
    <col min="13488" max="13488" width="5.28515625" style="35" customWidth="1"/>
    <col min="13489" max="13489" width="26" style="35" customWidth="1"/>
    <col min="13490" max="13490" width="11.140625" style="35" customWidth="1"/>
    <col min="13491" max="13491" width="21.42578125" style="35" customWidth="1"/>
    <col min="13492" max="13492" width="2.140625" style="35" customWidth="1"/>
    <col min="13493" max="13495" width="2" style="35" customWidth="1"/>
    <col min="13496" max="13496" width="2.42578125" style="35" customWidth="1"/>
    <col min="13497" max="13497" width="2" style="35" customWidth="1"/>
    <col min="13498" max="13499" width="2.42578125" style="35" bestFit="1" customWidth="1"/>
    <col min="13500" max="13503" width="2" style="35" customWidth="1"/>
    <col min="13504" max="13504" width="11.7109375" style="35" customWidth="1"/>
    <col min="13505" max="13505" width="12.140625" style="35" customWidth="1"/>
    <col min="13506" max="13506" width="12.85546875" style="35" customWidth="1"/>
    <col min="13507" max="13507" width="14" style="35" customWidth="1"/>
    <col min="13508" max="13508" width="10.5703125" style="35" customWidth="1"/>
    <col min="13509" max="13509" width="12.140625" style="35" customWidth="1"/>
    <col min="13510" max="13510" width="7.42578125" style="35" customWidth="1"/>
    <col min="13511" max="13511" width="16" style="35" customWidth="1"/>
    <col min="13512" max="13513" width="11.42578125" style="35"/>
    <col min="13514" max="13514" width="13.140625" style="35" bestFit="1" customWidth="1"/>
    <col min="13515" max="13743" width="11.42578125" style="35"/>
    <col min="13744" max="13744" width="5.28515625" style="35" customWidth="1"/>
    <col min="13745" max="13745" width="26" style="35" customWidth="1"/>
    <col min="13746" max="13746" width="11.140625" style="35" customWidth="1"/>
    <col min="13747" max="13747" width="21.42578125" style="35" customWidth="1"/>
    <col min="13748" max="13748" width="2.140625" style="35" customWidth="1"/>
    <col min="13749" max="13751" width="2" style="35" customWidth="1"/>
    <col min="13752" max="13752" width="2.42578125" style="35" customWidth="1"/>
    <col min="13753" max="13753" width="2" style="35" customWidth="1"/>
    <col min="13754" max="13755" width="2.42578125" style="35" bestFit="1" customWidth="1"/>
    <col min="13756" max="13759" width="2" style="35" customWidth="1"/>
    <col min="13760" max="13760" width="11.7109375" style="35" customWidth="1"/>
    <col min="13761" max="13761" width="12.140625" style="35" customWidth="1"/>
    <col min="13762" max="13762" width="12.85546875" style="35" customWidth="1"/>
    <col min="13763" max="13763" width="14" style="35" customWidth="1"/>
    <col min="13764" max="13764" width="10.5703125" style="35" customWidth="1"/>
    <col min="13765" max="13765" width="12.140625" style="35" customWidth="1"/>
    <col min="13766" max="13766" width="7.42578125" style="35" customWidth="1"/>
    <col min="13767" max="13767" width="16" style="35" customWidth="1"/>
    <col min="13768" max="13769" width="11.42578125" style="35"/>
    <col min="13770" max="13770" width="13.140625" style="35" bestFit="1" customWidth="1"/>
    <col min="13771" max="13999" width="11.42578125" style="35"/>
    <col min="14000" max="14000" width="5.28515625" style="35" customWidth="1"/>
    <col min="14001" max="14001" width="26" style="35" customWidth="1"/>
    <col min="14002" max="14002" width="11.140625" style="35" customWidth="1"/>
    <col min="14003" max="14003" width="21.42578125" style="35" customWidth="1"/>
    <col min="14004" max="14004" width="2.140625" style="35" customWidth="1"/>
    <col min="14005" max="14007" width="2" style="35" customWidth="1"/>
    <col min="14008" max="14008" width="2.42578125" style="35" customWidth="1"/>
    <col min="14009" max="14009" width="2" style="35" customWidth="1"/>
    <col min="14010" max="14011" width="2.42578125" style="35" bestFit="1" customWidth="1"/>
    <col min="14012" max="14015" width="2" style="35" customWidth="1"/>
    <col min="14016" max="14016" width="11.7109375" style="35" customWidth="1"/>
    <col min="14017" max="14017" width="12.140625" style="35" customWidth="1"/>
    <col min="14018" max="14018" width="12.85546875" style="35" customWidth="1"/>
    <col min="14019" max="14019" width="14" style="35" customWidth="1"/>
    <col min="14020" max="14020" width="10.5703125" style="35" customWidth="1"/>
    <col min="14021" max="14021" width="12.140625" style="35" customWidth="1"/>
    <col min="14022" max="14022" width="7.42578125" style="35" customWidth="1"/>
    <col min="14023" max="14023" width="16" style="35" customWidth="1"/>
    <col min="14024" max="14025" width="11.42578125" style="35"/>
    <col min="14026" max="14026" width="13.140625" style="35" bestFit="1" customWidth="1"/>
    <col min="14027" max="14255" width="11.42578125" style="35"/>
    <col min="14256" max="14256" width="5.28515625" style="35" customWidth="1"/>
    <col min="14257" max="14257" width="26" style="35" customWidth="1"/>
    <col min="14258" max="14258" width="11.140625" style="35" customWidth="1"/>
    <col min="14259" max="14259" width="21.42578125" style="35" customWidth="1"/>
    <col min="14260" max="14260" width="2.140625" style="35" customWidth="1"/>
    <col min="14261" max="14263" width="2" style="35" customWidth="1"/>
    <col min="14264" max="14264" width="2.42578125" style="35" customWidth="1"/>
    <col min="14265" max="14265" width="2" style="35" customWidth="1"/>
    <col min="14266" max="14267" width="2.42578125" style="35" bestFit="1" customWidth="1"/>
    <col min="14268" max="14271" width="2" style="35" customWidth="1"/>
    <col min="14272" max="14272" width="11.7109375" style="35" customWidth="1"/>
    <col min="14273" max="14273" width="12.140625" style="35" customWidth="1"/>
    <col min="14274" max="14274" width="12.85546875" style="35" customWidth="1"/>
    <col min="14275" max="14275" width="14" style="35" customWidth="1"/>
    <col min="14276" max="14276" width="10.5703125" style="35" customWidth="1"/>
    <col min="14277" max="14277" width="12.140625" style="35" customWidth="1"/>
    <col min="14278" max="14278" width="7.42578125" style="35" customWidth="1"/>
    <col min="14279" max="14279" width="16" style="35" customWidth="1"/>
    <col min="14280" max="14281" width="11.42578125" style="35"/>
    <col min="14282" max="14282" width="13.140625" style="35" bestFit="1" customWidth="1"/>
    <col min="14283" max="14511" width="11.42578125" style="35"/>
    <col min="14512" max="14512" width="5.28515625" style="35" customWidth="1"/>
    <col min="14513" max="14513" width="26" style="35" customWidth="1"/>
    <col min="14514" max="14514" width="11.140625" style="35" customWidth="1"/>
    <col min="14515" max="14515" width="21.42578125" style="35" customWidth="1"/>
    <col min="14516" max="14516" width="2.140625" style="35" customWidth="1"/>
    <col min="14517" max="14519" width="2" style="35" customWidth="1"/>
    <col min="14520" max="14520" width="2.42578125" style="35" customWidth="1"/>
    <col min="14521" max="14521" width="2" style="35" customWidth="1"/>
    <col min="14522" max="14523" width="2.42578125" style="35" bestFit="1" customWidth="1"/>
    <col min="14524" max="14527" width="2" style="35" customWidth="1"/>
    <col min="14528" max="14528" width="11.7109375" style="35" customWidth="1"/>
    <col min="14529" max="14529" width="12.140625" style="35" customWidth="1"/>
    <col min="14530" max="14530" width="12.85546875" style="35" customWidth="1"/>
    <col min="14531" max="14531" width="14" style="35" customWidth="1"/>
    <col min="14532" max="14532" width="10.5703125" style="35" customWidth="1"/>
    <col min="14533" max="14533" width="12.140625" style="35" customWidth="1"/>
    <col min="14534" max="14534" width="7.42578125" style="35" customWidth="1"/>
    <col min="14535" max="14535" width="16" style="35" customWidth="1"/>
    <col min="14536" max="14537" width="11.42578125" style="35"/>
    <col min="14538" max="14538" width="13.140625" style="35" bestFit="1" customWidth="1"/>
    <col min="14539" max="14767" width="11.42578125" style="35"/>
    <col min="14768" max="14768" width="5.28515625" style="35" customWidth="1"/>
    <col min="14769" max="14769" width="26" style="35" customWidth="1"/>
    <col min="14770" max="14770" width="11.140625" style="35" customWidth="1"/>
    <col min="14771" max="14771" width="21.42578125" style="35" customWidth="1"/>
    <col min="14772" max="14772" width="2.140625" style="35" customWidth="1"/>
    <col min="14773" max="14775" width="2" style="35" customWidth="1"/>
    <col min="14776" max="14776" width="2.42578125" style="35" customWidth="1"/>
    <col min="14777" max="14777" width="2" style="35" customWidth="1"/>
    <col min="14778" max="14779" width="2.42578125" style="35" bestFit="1" customWidth="1"/>
    <col min="14780" max="14783" width="2" style="35" customWidth="1"/>
    <col min="14784" max="14784" width="11.7109375" style="35" customWidth="1"/>
    <col min="14785" max="14785" width="12.140625" style="35" customWidth="1"/>
    <col min="14786" max="14786" width="12.85546875" style="35" customWidth="1"/>
    <col min="14787" max="14787" width="14" style="35" customWidth="1"/>
    <col min="14788" max="14788" width="10.5703125" style="35" customWidth="1"/>
    <col min="14789" max="14789" width="12.140625" style="35" customWidth="1"/>
    <col min="14790" max="14790" width="7.42578125" style="35" customWidth="1"/>
    <col min="14791" max="14791" width="16" style="35" customWidth="1"/>
    <col min="14792" max="14793" width="11.42578125" style="35"/>
    <col min="14794" max="14794" width="13.140625" style="35" bestFit="1" customWidth="1"/>
    <col min="14795" max="15023" width="11.42578125" style="35"/>
    <col min="15024" max="15024" width="5.28515625" style="35" customWidth="1"/>
    <col min="15025" max="15025" width="26" style="35" customWidth="1"/>
    <col min="15026" max="15026" width="11.140625" style="35" customWidth="1"/>
    <col min="15027" max="15027" width="21.42578125" style="35" customWidth="1"/>
    <col min="15028" max="15028" width="2.140625" style="35" customWidth="1"/>
    <col min="15029" max="15031" width="2" style="35" customWidth="1"/>
    <col min="15032" max="15032" width="2.42578125" style="35" customWidth="1"/>
    <col min="15033" max="15033" width="2" style="35" customWidth="1"/>
    <col min="15034" max="15035" width="2.42578125" style="35" bestFit="1" customWidth="1"/>
    <col min="15036" max="15039" width="2" style="35" customWidth="1"/>
    <col min="15040" max="15040" width="11.7109375" style="35" customWidth="1"/>
    <col min="15041" max="15041" width="12.140625" style="35" customWidth="1"/>
    <col min="15042" max="15042" width="12.85546875" style="35" customWidth="1"/>
    <col min="15043" max="15043" width="14" style="35" customWidth="1"/>
    <col min="15044" max="15044" width="10.5703125" style="35" customWidth="1"/>
    <col min="15045" max="15045" width="12.140625" style="35" customWidth="1"/>
    <col min="15046" max="15046" width="7.42578125" style="35" customWidth="1"/>
    <col min="15047" max="15047" width="16" style="35" customWidth="1"/>
    <col min="15048" max="15049" width="11.42578125" style="35"/>
    <col min="15050" max="15050" width="13.140625" style="35" bestFit="1" customWidth="1"/>
    <col min="15051" max="15279" width="11.42578125" style="35"/>
    <col min="15280" max="15280" width="5.28515625" style="35" customWidth="1"/>
    <col min="15281" max="15281" width="26" style="35" customWidth="1"/>
    <col min="15282" max="15282" width="11.140625" style="35" customWidth="1"/>
    <col min="15283" max="15283" width="21.42578125" style="35" customWidth="1"/>
    <col min="15284" max="15284" width="2.140625" style="35" customWidth="1"/>
    <col min="15285" max="15287" width="2" style="35" customWidth="1"/>
    <col min="15288" max="15288" width="2.42578125" style="35" customWidth="1"/>
    <col min="15289" max="15289" width="2" style="35" customWidth="1"/>
    <col min="15290" max="15291" width="2.42578125" style="35" bestFit="1" customWidth="1"/>
    <col min="15292" max="15295" width="2" style="35" customWidth="1"/>
    <col min="15296" max="15296" width="11.7109375" style="35" customWidth="1"/>
    <col min="15297" max="15297" width="12.140625" style="35" customWidth="1"/>
    <col min="15298" max="15298" width="12.85546875" style="35" customWidth="1"/>
    <col min="15299" max="15299" width="14" style="35" customWidth="1"/>
    <col min="15300" max="15300" width="10.5703125" style="35" customWidth="1"/>
    <col min="15301" max="15301" width="12.140625" style="35" customWidth="1"/>
    <col min="15302" max="15302" width="7.42578125" style="35" customWidth="1"/>
    <col min="15303" max="15303" width="16" style="35" customWidth="1"/>
    <col min="15304" max="15305" width="11.42578125" style="35"/>
    <col min="15306" max="15306" width="13.140625" style="35" bestFit="1" customWidth="1"/>
    <col min="15307" max="15535" width="11.42578125" style="35"/>
    <col min="15536" max="15536" width="5.28515625" style="35" customWidth="1"/>
    <col min="15537" max="15537" width="26" style="35" customWidth="1"/>
    <col min="15538" max="15538" width="11.140625" style="35" customWidth="1"/>
    <col min="15539" max="15539" width="21.42578125" style="35" customWidth="1"/>
    <col min="15540" max="15540" width="2.140625" style="35" customWidth="1"/>
    <col min="15541" max="15543" width="2" style="35" customWidth="1"/>
    <col min="15544" max="15544" width="2.42578125" style="35" customWidth="1"/>
    <col min="15545" max="15545" width="2" style="35" customWidth="1"/>
    <col min="15546" max="15547" width="2.42578125" style="35" bestFit="1" customWidth="1"/>
    <col min="15548" max="15551" width="2" style="35" customWidth="1"/>
    <col min="15552" max="15552" width="11.7109375" style="35" customWidth="1"/>
    <col min="15553" max="15553" width="12.140625" style="35" customWidth="1"/>
    <col min="15554" max="15554" width="12.85546875" style="35" customWidth="1"/>
    <col min="15555" max="15555" width="14" style="35" customWidth="1"/>
    <col min="15556" max="15556" width="10.5703125" style="35" customWidth="1"/>
    <col min="15557" max="15557" width="12.140625" style="35" customWidth="1"/>
    <col min="15558" max="15558" width="7.42578125" style="35" customWidth="1"/>
    <col min="15559" max="15559" width="16" style="35" customWidth="1"/>
    <col min="15560" max="15561" width="11.42578125" style="35"/>
    <col min="15562" max="15562" width="13.140625" style="35" bestFit="1" customWidth="1"/>
    <col min="15563" max="15791" width="11.42578125" style="35"/>
    <col min="15792" max="15792" width="5.28515625" style="35" customWidth="1"/>
    <col min="15793" max="15793" width="26" style="35" customWidth="1"/>
    <col min="15794" max="15794" width="11.140625" style="35" customWidth="1"/>
    <col min="15795" max="15795" width="21.42578125" style="35" customWidth="1"/>
    <col min="15796" max="15796" width="2.140625" style="35" customWidth="1"/>
    <col min="15797" max="15799" width="2" style="35" customWidth="1"/>
    <col min="15800" max="15800" width="2.42578125" style="35" customWidth="1"/>
    <col min="15801" max="15801" width="2" style="35" customWidth="1"/>
    <col min="15802" max="15803" width="2.42578125" style="35" bestFit="1" customWidth="1"/>
    <col min="15804" max="15807" width="2" style="35" customWidth="1"/>
    <col min="15808" max="15808" width="11.7109375" style="35" customWidth="1"/>
    <col min="15809" max="15809" width="12.140625" style="35" customWidth="1"/>
    <col min="15810" max="15810" width="12.85546875" style="35" customWidth="1"/>
    <col min="15811" max="15811" width="14" style="35" customWidth="1"/>
    <col min="15812" max="15812" width="10.5703125" style="35" customWidth="1"/>
    <col min="15813" max="15813" width="12.140625" style="35" customWidth="1"/>
    <col min="15814" max="15814" width="7.42578125" style="35" customWidth="1"/>
    <col min="15815" max="15815" width="16" style="35" customWidth="1"/>
    <col min="15816" max="15817" width="11.42578125" style="35"/>
    <col min="15818" max="15818" width="13.140625" style="35" bestFit="1" customWidth="1"/>
    <col min="15819" max="16047" width="11.42578125" style="35"/>
    <col min="16048" max="16048" width="5.28515625" style="35" customWidth="1"/>
    <col min="16049" max="16049" width="26" style="35" customWidth="1"/>
    <col min="16050" max="16050" width="11.140625" style="35" customWidth="1"/>
    <col min="16051" max="16051" width="21.42578125" style="35" customWidth="1"/>
    <col min="16052" max="16052" width="2.140625" style="35" customWidth="1"/>
    <col min="16053" max="16055" width="2" style="35" customWidth="1"/>
    <col min="16056" max="16056" width="2.42578125" style="35" customWidth="1"/>
    <col min="16057" max="16057" width="2" style="35" customWidth="1"/>
    <col min="16058" max="16059" width="2.42578125" style="35" bestFit="1" customWidth="1"/>
    <col min="16060" max="16063" width="2" style="35" customWidth="1"/>
    <col min="16064" max="16064" width="11.7109375" style="35" customWidth="1"/>
    <col min="16065" max="16065" width="12.140625" style="35" customWidth="1"/>
    <col min="16066" max="16066" width="12.85546875" style="35" customWidth="1"/>
    <col min="16067" max="16067" width="14" style="35" customWidth="1"/>
    <col min="16068" max="16068" width="10.5703125" style="35" customWidth="1"/>
    <col min="16069" max="16069" width="12.140625" style="35" customWidth="1"/>
    <col min="16070" max="16070" width="7.42578125" style="35" customWidth="1"/>
    <col min="16071" max="16071" width="16" style="35" customWidth="1"/>
    <col min="16072" max="16073" width="11.42578125" style="35"/>
    <col min="16074" max="16074" width="13.140625" style="35" bestFit="1" customWidth="1"/>
    <col min="16075" max="16384" width="11.42578125" style="35"/>
  </cols>
  <sheetData>
    <row r="1" spans="1:22" s="34" customFormat="1" x14ac:dyDescent="0.2">
      <c r="A1" s="396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8"/>
    </row>
    <row r="2" spans="1:22" s="34" customFormat="1" x14ac:dyDescent="0.2">
      <c r="A2" s="491" t="s">
        <v>187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492"/>
    </row>
    <row r="3" spans="1:22" s="34" customFormat="1" x14ac:dyDescent="0.2">
      <c r="A3" s="491" t="s">
        <v>348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492"/>
    </row>
    <row r="4" spans="1:22" x14ac:dyDescent="0.2">
      <c r="A4" s="485" t="s">
        <v>139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4"/>
      <c r="U4" s="486"/>
    </row>
    <row r="5" spans="1:22" ht="17.25" customHeight="1" x14ac:dyDescent="0.2">
      <c r="A5" s="487" t="s">
        <v>140</v>
      </c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9"/>
      <c r="U5" s="490"/>
    </row>
    <row r="6" spans="1:22" s="36" customFormat="1" ht="18" customHeight="1" x14ac:dyDescent="0.25">
      <c r="A6" s="385" t="s">
        <v>5</v>
      </c>
      <c r="B6" s="386" t="s">
        <v>177</v>
      </c>
      <c r="C6" s="386" t="s">
        <v>127</v>
      </c>
      <c r="D6" s="387" t="s">
        <v>6</v>
      </c>
      <c r="E6" s="386" t="s">
        <v>7</v>
      </c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 t="s">
        <v>128</v>
      </c>
      <c r="R6" s="386" t="s">
        <v>339</v>
      </c>
      <c r="S6" s="395" t="s">
        <v>344</v>
      </c>
      <c r="T6" s="395"/>
      <c r="U6" s="395"/>
    </row>
    <row r="7" spans="1:22" ht="21.75" customHeight="1" x14ac:dyDescent="0.2">
      <c r="A7" s="385"/>
      <c r="B7" s="386"/>
      <c r="C7" s="386"/>
      <c r="D7" s="387"/>
      <c r="E7" s="182" t="s">
        <v>8</v>
      </c>
      <c r="F7" s="182" t="s">
        <v>9</v>
      </c>
      <c r="G7" s="182" t="s">
        <v>10</v>
      </c>
      <c r="H7" s="182" t="s">
        <v>11</v>
      </c>
      <c r="I7" s="182" t="s">
        <v>10</v>
      </c>
      <c r="J7" s="182" t="s">
        <v>12</v>
      </c>
      <c r="K7" s="182" t="s">
        <v>12</v>
      </c>
      <c r="L7" s="182" t="s">
        <v>11</v>
      </c>
      <c r="M7" s="182" t="s">
        <v>13</v>
      </c>
      <c r="N7" s="182" t="s">
        <v>14</v>
      </c>
      <c r="O7" s="182" t="s">
        <v>15</v>
      </c>
      <c r="P7" s="182" t="s">
        <v>16</v>
      </c>
      <c r="Q7" s="386"/>
      <c r="R7" s="386"/>
      <c r="S7" s="183" t="s">
        <v>17</v>
      </c>
      <c r="T7" s="183" t="s">
        <v>18</v>
      </c>
      <c r="U7" s="184" t="s">
        <v>19</v>
      </c>
    </row>
    <row r="8" spans="1:22" ht="27.75" customHeight="1" x14ac:dyDescent="0.2">
      <c r="A8" s="49">
        <v>5</v>
      </c>
      <c r="B8" s="396" t="s">
        <v>142</v>
      </c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8"/>
    </row>
    <row r="9" spans="1:22" s="43" customFormat="1" ht="204.75" thickBot="1" x14ac:dyDescent="0.25">
      <c r="A9" s="48"/>
      <c r="B9" s="187" t="s">
        <v>67</v>
      </c>
      <c r="C9" s="146" t="s">
        <v>21</v>
      </c>
      <c r="D9" s="188" t="s">
        <v>145</v>
      </c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 t="s">
        <v>35</v>
      </c>
      <c r="P9" s="146"/>
      <c r="Q9" s="146" t="s">
        <v>22</v>
      </c>
      <c r="R9" s="147" t="s">
        <v>189</v>
      </c>
      <c r="S9" s="146">
        <v>1</v>
      </c>
      <c r="T9" s="175">
        <f>U9</f>
        <v>560.80000000000007</v>
      </c>
      <c r="U9" s="140">
        <v>560.80000000000007</v>
      </c>
      <c r="V9" s="186"/>
    </row>
    <row r="10" spans="1:22" s="43" customFormat="1" ht="15" customHeight="1" thickBot="1" x14ac:dyDescent="0.25">
      <c r="A10" s="382" t="s">
        <v>350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4"/>
      <c r="T10" s="388">
        <f>SUM(U9)</f>
        <v>560.80000000000007</v>
      </c>
      <c r="U10" s="389"/>
      <c r="V10" s="186"/>
    </row>
    <row r="11" spans="1:22" ht="12.75" customHeight="1" x14ac:dyDescent="0.2">
      <c r="A11" s="478"/>
      <c r="B11" s="493"/>
      <c r="C11" s="494"/>
      <c r="D11" s="495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254"/>
      <c r="R11" s="494"/>
      <c r="S11" s="254"/>
      <c r="T11" s="254"/>
      <c r="U11" s="254"/>
    </row>
    <row r="12" spans="1:22" x14ac:dyDescent="0.2">
      <c r="A12" s="477" t="s">
        <v>139</v>
      </c>
      <c r="B12" s="477"/>
      <c r="C12" s="477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7"/>
      <c r="T12" s="478"/>
      <c r="U12" s="478"/>
    </row>
    <row r="13" spans="1:22" ht="17.25" customHeight="1" x14ac:dyDescent="0.2">
      <c r="A13" s="477" t="s">
        <v>382</v>
      </c>
      <c r="B13" s="477"/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7"/>
      <c r="S13" s="477"/>
      <c r="T13" s="478"/>
      <c r="U13" s="478"/>
    </row>
    <row r="14" spans="1:22" s="36" customFormat="1" ht="18" customHeight="1" x14ac:dyDescent="0.25">
      <c r="A14" s="402" t="s">
        <v>5</v>
      </c>
      <c r="B14" s="386" t="s">
        <v>177</v>
      </c>
      <c r="C14" s="386" t="s">
        <v>127</v>
      </c>
      <c r="D14" s="404" t="s">
        <v>6</v>
      </c>
      <c r="E14" s="405" t="s">
        <v>7</v>
      </c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7"/>
      <c r="Q14" s="386" t="s">
        <v>128</v>
      </c>
      <c r="R14" s="386" t="s">
        <v>339</v>
      </c>
      <c r="S14" s="399" t="s">
        <v>344</v>
      </c>
      <c r="T14" s="400"/>
      <c r="U14" s="401"/>
    </row>
    <row r="15" spans="1:22" ht="21.75" customHeight="1" x14ac:dyDescent="0.2">
      <c r="A15" s="402"/>
      <c r="B15" s="403"/>
      <c r="C15" s="403"/>
      <c r="D15" s="404"/>
      <c r="E15" s="182" t="s">
        <v>8</v>
      </c>
      <c r="F15" s="182" t="s">
        <v>9</v>
      </c>
      <c r="G15" s="182" t="s">
        <v>10</v>
      </c>
      <c r="H15" s="182" t="s">
        <v>11</v>
      </c>
      <c r="I15" s="182" t="s">
        <v>10</v>
      </c>
      <c r="J15" s="182" t="s">
        <v>12</v>
      </c>
      <c r="K15" s="182" t="s">
        <v>12</v>
      </c>
      <c r="L15" s="182" t="s">
        <v>11</v>
      </c>
      <c r="M15" s="182" t="s">
        <v>13</v>
      </c>
      <c r="N15" s="182" t="s">
        <v>14</v>
      </c>
      <c r="O15" s="182" t="s">
        <v>15</v>
      </c>
      <c r="P15" s="182" t="s">
        <v>16</v>
      </c>
      <c r="Q15" s="386"/>
      <c r="R15" s="386"/>
      <c r="S15" s="183" t="s">
        <v>17</v>
      </c>
      <c r="T15" s="183" t="s">
        <v>18</v>
      </c>
      <c r="U15" s="184" t="s">
        <v>19</v>
      </c>
    </row>
    <row r="16" spans="1:22" ht="27.75" customHeight="1" x14ac:dyDescent="0.2">
      <c r="A16" s="37">
        <v>5</v>
      </c>
      <c r="B16" s="355" t="s">
        <v>143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7"/>
    </row>
    <row r="17" spans="1:21" ht="141" thickBot="1" x14ac:dyDescent="0.25">
      <c r="B17" s="38" t="s">
        <v>46</v>
      </c>
      <c r="C17" s="54" t="s">
        <v>21</v>
      </c>
      <c r="D17" s="189" t="s">
        <v>144</v>
      </c>
      <c r="E17" s="54"/>
      <c r="F17" s="54"/>
      <c r="G17" s="63" t="s">
        <v>35</v>
      </c>
      <c r="H17" s="63" t="s">
        <v>35</v>
      </c>
      <c r="I17" s="63" t="s">
        <v>35</v>
      </c>
      <c r="J17" s="54"/>
      <c r="K17" s="54"/>
      <c r="L17" s="54"/>
      <c r="M17" s="54"/>
      <c r="N17" s="54"/>
      <c r="O17" s="54"/>
      <c r="P17" s="54"/>
      <c r="Q17" s="54" t="s">
        <v>22</v>
      </c>
      <c r="R17" s="39" t="s">
        <v>160</v>
      </c>
      <c r="S17" s="54">
        <v>1</v>
      </c>
      <c r="T17" s="140">
        <f>U17/3</f>
        <v>333.33333333333331</v>
      </c>
      <c r="U17" s="140">
        <v>1000</v>
      </c>
    </row>
    <row r="18" spans="1:21" ht="13.5" thickBot="1" x14ac:dyDescent="0.25">
      <c r="A18" s="382" t="s">
        <v>350</v>
      </c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4"/>
      <c r="T18" s="388">
        <f>SUM(U17)</f>
        <v>1000</v>
      </c>
      <c r="U18" s="389"/>
    </row>
    <row r="19" spans="1:21" ht="16.5" thickBot="1" x14ac:dyDescent="0.25">
      <c r="A19" s="390" t="s">
        <v>343</v>
      </c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2"/>
      <c r="T19" s="393">
        <f>T18+T10</f>
        <v>1560.8000000000002</v>
      </c>
      <c r="U19" s="394"/>
    </row>
  </sheetData>
  <mergeCells count="27">
    <mergeCell ref="A18:S18"/>
    <mergeCell ref="T18:U18"/>
    <mergeCell ref="A19:S19"/>
    <mergeCell ref="T19:U19"/>
    <mergeCell ref="S6:U6"/>
    <mergeCell ref="B8:U8"/>
    <mergeCell ref="B16:U16"/>
    <mergeCell ref="R14:R15"/>
    <mergeCell ref="S14:U14"/>
    <mergeCell ref="A14:A15"/>
    <mergeCell ref="B14:B15"/>
    <mergeCell ref="C14:C15"/>
    <mergeCell ref="D14:D15"/>
    <mergeCell ref="E14:P14"/>
    <mergeCell ref="Q14:Q15"/>
    <mergeCell ref="T10:U10"/>
    <mergeCell ref="A10:S10"/>
    <mergeCell ref="A1:U1"/>
    <mergeCell ref="A2:U2"/>
    <mergeCell ref="A3:U3"/>
    <mergeCell ref="A6:A7"/>
    <mergeCell ref="B6:B7"/>
    <mergeCell ref="C6:C7"/>
    <mergeCell ref="D6:D7"/>
    <mergeCell ref="E6:P6"/>
    <mergeCell ref="Q6:Q7"/>
    <mergeCell ref="R6:R7"/>
  </mergeCells>
  <printOptions horizontalCentered="1" verticalCentered="1"/>
  <pageMargins left="0.25" right="0.25" top="0.75" bottom="0.75" header="0.3" footer="0.3"/>
  <pageSetup paperSize="5" scale="75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U22"/>
  <sheetViews>
    <sheetView topLeftCell="A10" zoomScaleNormal="100" zoomScalePageLayoutView="90" workbookViewId="0">
      <selection activeCell="T22" sqref="T22:U22"/>
    </sheetView>
  </sheetViews>
  <sheetFormatPr baseColWidth="10" defaultRowHeight="12.75" x14ac:dyDescent="0.2"/>
  <cols>
    <col min="1" max="1" width="5.28515625" style="35" customWidth="1"/>
    <col min="2" max="2" width="30" style="44" customWidth="1"/>
    <col min="3" max="3" width="22.140625" style="46" customWidth="1"/>
    <col min="4" max="4" width="29.140625" style="45" customWidth="1"/>
    <col min="5" max="5" width="2.140625" style="45" customWidth="1"/>
    <col min="6" max="6" width="2" style="45" customWidth="1"/>
    <col min="7" max="7" width="2.5703125" style="45" customWidth="1"/>
    <col min="8" max="8" width="2" style="45" customWidth="1"/>
    <col min="9" max="9" width="2.42578125" style="45" customWidth="1"/>
    <col min="10" max="10" width="2" style="45" customWidth="1"/>
    <col min="11" max="12" width="2.42578125" style="45" bestFit="1" customWidth="1"/>
    <col min="13" max="13" width="2" style="45" customWidth="1"/>
    <col min="14" max="14" width="2.140625" style="45" customWidth="1"/>
    <col min="15" max="16" width="2" style="45" customWidth="1"/>
    <col min="17" max="17" width="12.5703125" style="35" bestFit="1" customWidth="1"/>
    <col min="18" max="18" width="13.5703125" style="45" bestFit="1" customWidth="1"/>
    <col min="19" max="19" width="7.42578125" style="35" bestFit="1" customWidth="1"/>
    <col min="20" max="20" width="11.5703125" style="35" bestFit="1" customWidth="1"/>
    <col min="21" max="21" width="13.140625" style="35" bestFit="1" customWidth="1"/>
    <col min="22" max="175" width="11.42578125" style="35"/>
    <col min="176" max="176" width="5.28515625" style="35" customWidth="1"/>
    <col min="177" max="177" width="26" style="35" customWidth="1"/>
    <col min="178" max="178" width="11.140625" style="35" customWidth="1"/>
    <col min="179" max="179" width="21.42578125" style="35" customWidth="1"/>
    <col min="180" max="180" width="2.140625" style="35" customWidth="1"/>
    <col min="181" max="183" width="2" style="35" customWidth="1"/>
    <col min="184" max="184" width="2.42578125" style="35" customWidth="1"/>
    <col min="185" max="185" width="2" style="35" customWidth="1"/>
    <col min="186" max="187" width="2.42578125" style="35" bestFit="1" customWidth="1"/>
    <col min="188" max="191" width="2" style="35" customWidth="1"/>
    <col min="192" max="192" width="11.7109375" style="35" customWidth="1"/>
    <col min="193" max="193" width="12.140625" style="35" customWidth="1"/>
    <col min="194" max="194" width="12.85546875" style="35" customWidth="1"/>
    <col min="195" max="195" width="14" style="35" customWidth="1"/>
    <col min="196" max="196" width="10.5703125" style="35" customWidth="1"/>
    <col min="197" max="197" width="12.140625" style="35" customWidth="1"/>
    <col min="198" max="198" width="7.42578125" style="35" customWidth="1"/>
    <col min="199" max="199" width="16" style="35" customWidth="1"/>
    <col min="200" max="201" width="11.42578125" style="35"/>
    <col min="202" max="202" width="13.140625" style="35" bestFit="1" customWidth="1"/>
    <col min="203" max="431" width="11.42578125" style="35"/>
    <col min="432" max="432" width="5.28515625" style="35" customWidth="1"/>
    <col min="433" max="433" width="26" style="35" customWidth="1"/>
    <col min="434" max="434" width="11.140625" style="35" customWidth="1"/>
    <col min="435" max="435" width="21.42578125" style="35" customWidth="1"/>
    <col min="436" max="436" width="2.140625" style="35" customWidth="1"/>
    <col min="437" max="439" width="2" style="35" customWidth="1"/>
    <col min="440" max="440" width="2.42578125" style="35" customWidth="1"/>
    <col min="441" max="441" width="2" style="35" customWidth="1"/>
    <col min="442" max="443" width="2.42578125" style="35" bestFit="1" customWidth="1"/>
    <col min="444" max="447" width="2" style="35" customWidth="1"/>
    <col min="448" max="448" width="11.7109375" style="35" customWidth="1"/>
    <col min="449" max="449" width="12.140625" style="35" customWidth="1"/>
    <col min="450" max="450" width="12.85546875" style="35" customWidth="1"/>
    <col min="451" max="451" width="14" style="35" customWidth="1"/>
    <col min="452" max="452" width="10.5703125" style="35" customWidth="1"/>
    <col min="453" max="453" width="12.140625" style="35" customWidth="1"/>
    <col min="454" max="454" width="7.42578125" style="35" customWidth="1"/>
    <col min="455" max="455" width="16" style="35" customWidth="1"/>
    <col min="456" max="457" width="11.42578125" style="35"/>
    <col min="458" max="458" width="13.140625" style="35" bestFit="1" customWidth="1"/>
    <col min="459" max="687" width="11.42578125" style="35"/>
    <col min="688" max="688" width="5.28515625" style="35" customWidth="1"/>
    <col min="689" max="689" width="26" style="35" customWidth="1"/>
    <col min="690" max="690" width="11.140625" style="35" customWidth="1"/>
    <col min="691" max="691" width="21.42578125" style="35" customWidth="1"/>
    <col min="692" max="692" width="2.140625" style="35" customWidth="1"/>
    <col min="693" max="695" width="2" style="35" customWidth="1"/>
    <col min="696" max="696" width="2.42578125" style="35" customWidth="1"/>
    <col min="697" max="697" width="2" style="35" customWidth="1"/>
    <col min="698" max="699" width="2.42578125" style="35" bestFit="1" customWidth="1"/>
    <col min="700" max="703" width="2" style="35" customWidth="1"/>
    <col min="704" max="704" width="11.7109375" style="35" customWidth="1"/>
    <col min="705" max="705" width="12.140625" style="35" customWidth="1"/>
    <col min="706" max="706" width="12.85546875" style="35" customWidth="1"/>
    <col min="707" max="707" width="14" style="35" customWidth="1"/>
    <col min="708" max="708" width="10.5703125" style="35" customWidth="1"/>
    <col min="709" max="709" width="12.140625" style="35" customWidth="1"/>
    <col min="710" max="710" width="7.42578125" style="35" customWidth="1"/>
    <col min="711" max="711" width="16" style="35" customWidth="1"/>
    <col min="712" max="713" width="11.42578125" style="35"/>
    <col min="714" max="714" width="13.140625" style="35" bestFit="1" customWidth="1"/>
    <col min="715" max="943" width="11.42578125" style="35"/>
    <col min="944" max="944" width="5.28515625" style="35" customWidth="1"/>
    <col min="945" max="945" width="26" style="35" customWidth="1"/>
    <col min="946" max="946" width="11.140625" style="35" customWidth="1"/>
    <col min="947" max="947" width="21.42578125" style="35" customWidth="1"/>
    <col min="948" max="948" width="2.140625" style="35" customWidth="1"/>
    <col min="949" max="951" width="2" style="35" customWidth="1"/>
    <col min="952" max="952" width="2.42578125" style="35" customWidth="1"/>
    <col min="953" max="953" width="2" style="35" customWidth="1"/>
    <col min="954" max="955" width="2.42578125" style="35" bestFit="1" customWidth="1"/>
    <col min="956" max="959" width="2" style="35" customWidth="1"/>
    <col min="960" max="960" width="11.7109375" style="35" customWidth="1"/>
    <col min="961" max="961" width="12.140625" style="35" customWidth="1"/>
    <col min="962" max="962" width="12.85546875" style="35" customWidth="1"/>
    <col min="963" max="963" width="14" style="35" customWidth="1"/>
    <col min="964" max="964" width="10.5703125" style="35" customWidth="1"/>
    <col min="965" max="965" width="12.140625" style="35" customWidth="1"/>
    <col min="966" max="966" width="7.42578125" style="35" customWidth="1"/>
    <col min="967" max="967" width="16" style="35" customWidth="1"/>
    <col min="968" max="969" width="11.42578125" style="35"/>
    <col min="970" max="970" width="13.140625" style="35" bestFit="1" customWidth="1"/>
    <col min="971" max="1199" width="11.42578125" style="35"/>
    <col min="1200" max="1200" width="5.28515625" style="35" customWidth="1"/>
    <col min="1201" max="1201" width="26" style="35" customWidth="1"/>
    <col min="1202" max="1202" width="11.140625" style="35" customWidth="1"/>
    <col min="1203" max="1203" width="21.42578125" style="35" customWidth="1"/>
    <col min="1204" max="1204" width="2.140625" style="35" customWidth="1"/>
    <col min="1205" max="1207" width="2" style="35" customWidth="1"/>
    <col min="1208" max="1208" width="2.42578125" style="35" customWidth="1"/>
    <col min="1209" max="1209" width="2" style="35" customWidth="1"/>
    <col min="1210" max="1211" width="2.42578125" style="35" bestFit="1" customWidth="1"/>
    <col min="1212" max="1215" width="2" style="35" customWidth="1"/>
    <col min="1216" max="1216" width="11.7109375" style="35" customWidth="1"/>
    <col min="1217" max="1217" width="12.140625" style="35" customWidth="1"/>
    <col min="1218" max="1218" width="12.85546875" style="35" customWidth="1"/>
    <col min="1219" max="1219" width="14" style="35" customWidth="1"/>
    <col min="1220" max="1220" width="10.5703125" style="35" customWidth="1"/>
    <col min="1221" max="1221" width="12.140625" style="35" customWidth="1"/>
    <col min="1222" max="1222" width="7.42578125" style="35" customWidth="1"/>
    <col min="1223" max="1223" width="16" style="35" customWidth="1"/>
    <col min="1224" max="1225" width="11.42578125" style="35"/>
    <col min="1226" max="1226" width="13.140625" style="35" bestFit="1" customWidth="1"/>
    <col min="1227" max="1455" width="11.42578125" style="35"/>
    <col min="1456" max="1456" width="5.28515625" style="35" customWidth="1"/>
    <col min="1457" max="1457" width="26" style="35" customWidth="1"/>
    <col min="1458" max="1458" width="11.140625" style="35" customWidth="1"/>
    <col min="1459" max="1459" width="21.42578125" style="35" customWidth="1"/>
    <col min="1460" max="1460" width="2.140625" style="35" customWidth="1"/>
    <col min="1461" max="1463" width="2" style="35" customWidth="1"/>
    <col min="1464" max="1464" width="2.42578125" style="35" customWidth="1"/>
    <col min="1465" max="1465" width="2" style="35" customWidth="1"/>
    <col min="1466" max="1467" width="2.42578125" style="35" bestFit="1" customWidth="1"/>
    <col min="1468" max="1471" width="2" style="35" customWidth="1"/>
    <col min="1472" max="1472" width="11.7109375" style="35" customWidth="1"/>
    <col min="1473" max="1473" width="12.140625" style="35" customWidth="1"/>
    <col min="1474" max="1474" width="12.85546875" style="35" customWidth="1"/>
    <col min="1475" max="1475" width="14" style="35" customWidth="1"/>
    <col min="1476" max="1476" width="10.5703125" style="35" customWidth="1"/>
    <col min="1477" max="1477" width="12.140625" style="35" customWidth="1"/>
    <col min="1478" max="1478" width="7.42578125" style="35" customWidth="1"/>
    <col min="1479" max="1479" width="16" style="35" customWidth="1"/>
    <col min="1480" max="1481" width="11.42578125" style="35"/>
    <col min="1482" max="1482" width="13.140625" style="35" bestFit="1" customWidth="1"/>
    <col min="1483" max="1711" width="11.42578125" style="35"/>
    <col min="1712" max="1712" width="5.28515625" style="35" customWidth="1"/>
    <col min="1713" max="1713" width="26" style="35" customWidth="1"/>
    <col min="1714" max="1714" width="11.140625" style="35" customWidth="1"/>
    <col min="1715" max="1715" width="21.42578125" style="35" customWidth="1"/>
    <col min="1716" max="1716" width="2.140625" style="35" customWidth="1"/>
    <col min="1717" max="1719" width="2" style="35" customWidth="1"/>
    <col min="1720" max="1720" width="2.42578125" style="35" customWidth="1"/>
    <col min="1721" max="1721" width="2" style="35" customWidth="1"/>
    <col min="1722" max="1723" width="2.42578125" style="35" bestFit="1" customWidth="1"/>
    <col min="1724" max="1727" width="2" style="35" customWidth="1"/>
    <col min="1728" max="1728" width="11.7109375" style="35" customWidth="1"/>
    <col min="1729" max="1729" width="12.140625" style="35" customWidth="1"/>
    <col min="1730" max="1730" width="12.85546875" style="35" customWidth="1"/>
    <col min="1731" max="1731" width="14" style="35" customWidth="1"/>
    <col min="1732" max="1732" width="10.5703125" style="35" customWidth="1"/>
    <col min="1733" max="1733" width="12.140625" style="35" customWidth="1"/>
    <col min="1734" max="1734" width="7.42578125" style="35" customWidth="1"/>
    <col min="1735" max="1735" width="16" style="35" customWidth="1"/>
    <col min="1736" max="1737" width="11.42578125" style="35"/>
    <col min="1738" max="1738" width="13.140625" style="35" bestFit="1" customWidth="1"/>
    <col min="1739" max="1967" width="11.42578125" style="35"/>
    <col min="1968" max="1968" width="5.28515625" style="35" customWidth="1"/>
    <col min="1969" max="1969" width="26" style="35" customWidth="1"/>
    <col min="1970" max="1970" width="11.140625" style="35" customWidth="1"/>
    <col min="1971" max="1971" width="21.42578125" style="35" customWidth="1"/>
    <col min="1972" max="1972" width="2.140625" style="35" customWidth="1"/>
    <col min="1973" max="1975" width="2" style="35" customWidth="1"/>
    <col min="1976" max="1976" width="2.42578125" style="35" customWidth="1"/>
    <col min="1977" max="1977" width="2" style="35" customWidth="1"/>
    <col min="1978" max="1979" width="2.42578125" style="35" bestFit="1" customWidth="1"/>
    <col min="1980" max="1983" width="2" style="35" customWidth="1"/>
    <col min="1984" max="1984" width="11.7109375" style="35" customWidth="1"/>
    <col min="1985" max="1985" width="12.140625" style="35" customWidth="1"/>
    <col min="1986" max="1986" width="12.85546875" style="35" customWidth="1"/>
    <col min="1987" max="1987" width="14" style="35" customWidth="1"/>
    <col min="1988" max="1988" width="10.5703125" style="35" customWidth="1"/>
    <col min="1989" max="1989" width="12.140625" style="35" customWidth="1"/>
    <col min="1990" max="1990" width="7.42578125" style="35" customWidth="1"/>
    <col min="1991" max="1991" width="16" style="35" customWidth="1"/>
    <col min="1992" max="1993" width="11.42578125" style="35"/>
    <col min="1994" max="1994" width="13.140625" style="35" bestFit="1" customWidth="1"/>
    <col min="1995" max="2223" width="11.42578125" style="35"/>
    <col min="2224" max="2224" width="5.28515625" style="35" customWidth="1"/>
    <col min="2225" max="2225" width="26" style="35" customWidth="1"/>
    <col min="2226" max="2226" width="11.140625" style="35" customWidth="1"/>
    <col min="2227" max="2227" width="21.42578125" style="35" customWidth="1"/>
    <col min="2228" max="2228" width="2.140625" style="35" customWidth="1"/>
    <col min="2229" max="2231" width="2" style="35" customWidth="1"/>
    <col min="2232" max="2232" width="2.42578125" style="35" customWidth="1"/>
    <col min="2233" max="2233" width="2" style="35" customWidth="1"/>
    <col min="2234" max="2235" width="2.42578125" style="35" bestFit="1" customWidth="1"/>
    <col min="2236" max="2239" width="2" style="35" customWidth="1"/>
    <col min="2240" max="2240" width="11.7109375" style="35" customWidth="1"/>
    <col min="2241" max="2241" width="12.140625" style="35" customWidth="1"/>
    <col min="2242" max="2242" width="12.85546875" style="35" customWidth="1"/>
    <col min="2243" max="2243" width="14" style="35" customWidth="1"/>
    <col min="2244" max="2244" width="10.5703125" style="35" customWidth="1"/>
    <col min="2245" max="2245" width="12.140625" style="35" customWidth="1"/>
    <col min="2246" max="2246" width="7.42578125" style="35" customWidth="1"/>
    <col min="2247" max="2247" width="16" style="35" customWidth="1"/>
    <col min="2248" max="2249" width="11.42578125" style="35"/>
    <col min="2250" max="2250" width="13.140625" style="35" bestFit="1" customWidth="1"/>
    <col min="2251" max="2479" width="11.42578125" style="35"/>
    <col min="2480" max="2480" width="5.28515625" style="35" customWidth="1"/>
    <col min="2481" max="2481" width="26" style="35" customWidth="1"/>
    <col min="2482" max="2482" width="11.140625" style="35" customWidth="1"/>
    <col min="2483" max="2483" width="21.42578125" style="35" customWidth="1"/>
    <col min="2484" max="2484" width="2.140625" style="35" customWidth="1"/>
    <col min="2485" max="2487" width="2" style="35" customWidth="1"/>
    <col min="2488" max="2488" width="2.42578125" style="35" customWidth="1"/>
    <col min="2489" max="2489" width="2" style="35" customWidth="1"/>
    <col min="2490" max="2491" width="2.42578125" style="35" bestFit="1" customWidth="1"/>
    <col min="2492" max="2495" width="2" style="35" customWidth="1"/>
    <col min="2496" max="2496" width="11.7109375" style="35" customWidth="1"/>
    <col min="2497" max="2497" width="12.140625" style="35" customWidth="1"/>
    <col min="2498" max="2498" width="12.85546875" style="35" customWidth="1"/>
    <col min="2499" max="2499" width="14" style="35" customWidth="1"/>
    <col min="2500" max="2500" width="10.5703125" style="35" customWidth="1"/>
    <col min="2501" max="2501" width="12.140625" style="35" customWidth="1"/>
    <col min="2502" max="2502" width="7.42578125" style="35" customWidth="1"/>
    <col min="2503" max="2503" width="16" style="35" customWidth="1"/>
    <col min="2504" max="2505" width="11.42578125" style="35"/>
    <col min="2506" max="2506" width="13.140625" style="35" bestFit="1" customWidth="1"/>
    <col min="2507" max="2735" width="11.42578125" style="35"/>
    <col min="2736" max="2736" width="5.28515625" style="35" customWidth="1"/>
    <col min="2737" max="2737" width="26" style="35" customWidth="1"/>
    <col min="2738" max="2738" width="11.140625" style="35" customWidth="1"/>
    <col min="2739" max="2739" width="21.42578125" style="35" customWidth="1"/>
    <col min="2740" max="2740" width="2.140625" style="35" customWidth="1"/>
    <col min="2741" max="2743" width="2" style="35" customWidth="1"/>
    <col min="2744" max="2744" width="2.42578125" style="35" customWidth="1"/>
    <col min="2745" max="2745" width="2" style="35" customWidth="1"/>
    <col min="2746" max="2747" width="2.42578125" style="35" bestFit="1" customWidth="1"/>
    <col min="2748" max="2751" width="2" style="35" customWidth="1"/>
    <col min="2752" max="2752" width="11.7109375" style="35" customWidth="1"/>
    <col min="2753" max="2753" width="12.140625" style="35" customWidth="1"/>
    <col min="2754" max="2754" width="12.85546875" style="35" customWidth="1"/>
    <col min="2755" max="2755" width="14" style="35" customWidth="1"/>
    <col min="2756" max="2756" width="10.5703125" style="35" customWidth="1"/>
    <col min="2757" max="2757" width="12.140625" style="35" customWidth="1"/>
    <col min="2758" max="2758" width="7.42578125" style="35" customWidth="1"/>
    <col min="2759" max="2759" width="16" style="35" customWidth="1"/>
    <col min="2760" max="2761" width="11.42578125" style="35"/>
    <col min="2762" max="2762" width="13.140625" style="35" bestFit="1" customWidth="1"/>
    <col min="2763" max="2991" width="11.42578125" style="35"/>
    <col min="2992" max="2992" width="5.28515625" style="35" customWidth="1"/>
    <col min="2993" max="2993" width="26" style="35" customWidth="1"/>
    <col min="2994" max="2994" width="11.140625" style="35" customWidth="1"/>
    <col min="2995" max="2995" width="21.42578125" style="35" customWidth="1"/>
    <col min="2996" max="2996" width="2.140625" style="35" customWidth="1"/>
    <col min="2997" max="2999" width="2" style="35" customWidth="1"/>
    <col min="3000" max="3000" width="2.42578125" style="35" customWidth="1"/>
    <col min="3001" max="3001" width="2" style="35" customWidth="1"/>
    <col min="3002" max="3003" width="2.42578125" style="35" bestFit="1" customWidth="1"/>
    <col min="3004" max="3007" width="2" style="35" customWidth="1"/>
    <col min="3008" max="3008" width="11.7109375" style="35" customWidth="1"/>
    <col min="3009" max="3009" width="12.140625" style="35" customWidth="1"/>
    <col min="3010" max="3010" width="12.85546875" style="35" customWidth="1"/>
    <col min="3011" max="3011" width="14" style="35" customWidth="1"/>
    <col min="3012" max="3012" width="10.5703125" style="35" customWidth="1"/>
    <col min="3013" max="3013" width="12.140625" style="35" customWidth="1"/>
    <col min="3014" max="3014" width="7.42578125" style="35" customWidth="1"/>
    <col min="3015" max="3015" width="16" style="35" customWidth="1"/>
    <col min="3016" max="3017" width="11.42578125" style="35"/>
    <col min="3018" max="3018" width="13.140625" style="35" bestFit="1" customWidth="1"/>
    <col min="3019" max="3247" width="11.42578125" style="35"/>
    <col min="3248" max="3248" width="5.28515625" style="35" customWidth="1"/>
    <col min="3249" max="3249" width="26" style="35" customWidth="1"/>
    <col min="3250" max="3250" width="11.140625" style="35" customWidth="1"/>
    <col min="3251" max="3251" width="21.42578125" style="35" customWidth="1"/>
    <col min="3252" max="3252" width="2.140625" style="35" customWidth="1"/>
    <col min="3253" max="3255" width="2" style="35" customWidth="1"/>
    <col min="3256" max="3256" width="2.42578125" style="35" customWidth="1"/>
    <col min="3257" max="3257" width="2" style="35" customWidth="1"/>
    <col min="3258" max="3259" width="2.42578125" style="35" bestFit="1" customWidth="1"/>
    <col min="3260" max="3263" width="2" style="35" customWidth="1"/>
    <col min="3264" max="3264" width="11.7109375" style="35" customWidth="1"/>
    <col min="3265" max="3265" width="12.140625" style="35" customWidth="1"/>
    <col min="3266" max="3266" width="12.85546875" style="35" customWidth="1"/>
    <col min="3267" max="3267" width="14" style="35" customWidth="1"/>
    <col min="3268" max="3268" width="10.5703125" style="35" customWidth="1"/>
    <col min="3269" max="3269" width="12.140625" style="35" customWidth="1"/>
    <col min="3270" max="3270" width="7.42578125" style="35" customWidth="1"/>
    <col min="3271" max="3271" width="16" style="35" customWidth="1"/>
    <col min="3272" max="3273" width="11.42578125" style="35"/>
    <col min="3274" max="3274" width="13.140625" style="35" bestFit="1" customWidth="1"/>
    <col min="3275" max="3503" width="11.42578125" style="35"/>
    <col min="3504" max="3504" width="5.28515625" style="35" customWidth="1"/>
    <col min="3505" max="3505" width="26" style="35" customWidth="1"/>
    <col min="3506" max="3506" width="11.140625" style="35" customWidth="1"/>
    <col min="3507" max="3507" width="21.42578125" style="35" customWidth="1"/>
    <col min="3508" max="3508" width="2.140625" style="35" customWidth="1"/>
    <col min="3509" max="3511" width="2" style="35" customWidth="1"/>
    <col min="3512" max="3512" width="2.42578125" style="35" customWidth="1"/>
    <col min="3513" max="3513" width="2" style="35" customWidth="1"/>
    <col min="3514" max="3515" width="2.42578125" style="35" bestFit="1" customWidth="1"/>
    <col min="3516" max="3519" width="2" style="35" customWidth="1"/>
    <col min="3520" max="3520" width="11.7109375" style="35" customWidth="1"/>
    <col min="3521" max="3521" width="12.140625" style="35" customWidth="1"/>
    <col min="3522" max="3522" width="12.85546875" style="35" customWidth="1"/>
    <col min="3523" max="3523" width="14" style="35" customWidth="1"/>
    <col min="3524" max="3524" width="10.5703125" style="35" customWidth="1"/>
    <col min="3525" max="3525" width="12.140625" style="35" customWidth="1"/>
    <col min="3526" max="3526" width="7.42578125" style="35" customWidth="1"/>
    <col min="3527" max="3527" width="16" style="35" customWidth="1"/>
    <col min="3528" max="3529" width="11.42578125" style="35"/>
    <col min="3530" max="3530" width="13.140625" style="35" bestFit="1" customWidth="1"/>
    <col min="3531" max="3759" width="11.42578125" style="35"/>
    <col min="3760" max="3760" width="5.28515625" style="35" customWidth="1"/>
    <col min="3761" max="3761" width="26" style="35" customWidth="1"/>
    <col min="3762" max="3762" width="11.140625" style="35" customWidth="1"/>
    <col min="3763" max="3763" width="21.42578125" style="35" customWidth="1"/>
    <col min="3764" max="3764" width="2.140625" style="35" customWidth="1"/>
    <col min="3765" max="3767" width="2" style="35" customWidth="1"/>
    <col min="3768" max="3768" width="2.42578125" style="35" customWidth="1"/>
    <col min="3769" max="3769" width="2" style="35" customWidth="1"/>
    <col min="3770" max="3771" width="2.42578125" style="35" bestFit="1" customWidth="1"/>
    <col min="3772" max="3775" width="2" style="35" customWidth="1"/>
    <col min="3776" max="3776" width="11.7109375" style="35" customWidth="1"/>
    <col min="3777" max="3777" width="12.140625" style="35" customWidth="1"/>
    <col min="3778" max="3778" width="12.85546875" style="35" customWidth="1"/>
    <col min="3779" max="3779" width="14" style="35" customWidth="1"/>
    <col min="3780" max="3780" width="10.5703125" style="35" customWidth="1"/>
    <col min="3781" max="3781" width="12.140625" style="35" customWidth="1"/>
    <col min="3782" max="3782" width="7.42578125" style="35" customWidth="1"/>
    <col min="3783" max="3783" width="16" style="35" customWidth="1"/>
    <col min="3784" max="3785" width="11.42578125" style="35"/>
    <col min="3786" max="3786" width="13.140625" style="35" bestFit="1" customWidth="1"/>
    <col min="3787" max="4015" width="11.42578125" style="35"/>
    <col min="4016" max="4016" width="5.28515625" style="35" customWidth="1"/>
    <col min="4017" max="4017" width="26" style="35" customWidth="1"/>
    <col min="4018" max="4018" width="11.140625" style="35" customWidth="1"/>
    <col min="4019" max="4019" width="21.42578125" style="35" customWidth="1"/>
    <col min="4020" max="4020" width="2.140625" style="35" customWidth="1"/>
    <col min="4021" max="4023" width="2" style="35" customWidth="1"/>
    <col min="4024" max="4024" width="2.42578125" style="35" customWidth="1"/>
    <col min="4025" max="4025" width="2" style="35" customWidth="1"/>
    <col min="4026" max="4027" width="2.42578125" style="35" bestFit="1" customWidth="1"/>
    <col min="4028" max="4031" width="2" style="35" customWidth="1"/>
    <col min="4032" max="4032" width="11.7109375" style="35" customWidth="1"/>
    <col min="4033" max="4033" width="12.140625" style="35" customWidth="1"/>
    <col min="4034" max="4034" width="12.85546875" style="35" customWidth="1"/>
    <col min="4035" max="4035" width="14" style="35" customWidth="1"/>
    <col min="4036" max="4036" width="10.5703125" style="35" customWidth="1"/>
    <col min="4037" max="4037" width="12.140625" style="35" customWidth="1"/>
    <col min="4038" max="4038" width="7.42578125" style="35" customWidth="1"/>
    <col min="4039" max="4039" width="16" style="35" customWidth="1"/>
    <col min="4040" max="4041" width="11.42578125" style="35"/>
    <col min="4042" max="4042" width="13.140625" style="35" bestFit="1" customWidth="1"/>
    <col min="4043" max="4271" width="11.42578125" style="35"/>
    <col min="4272" max="4272" width="5.28515625" style="35" customWidth="1"/>
    <col min="4273" max="4273" width="26" style="35" customWidth="1"/>
    <col min="4274" max="4274" width="11.140625" style="35" customWidth="1"/>
    <col min="4275" max="4275" width="21.42578125" style="35" customWidth="1"/>
    <col min="4276" max="4276" width="2.140625" style="35" customWidth="1"/>
    <col min="4277" max="4279" width="2" style="35" customWidth="1"/>
    <col min="4280" max="4280" width="2.42578125" style="35" customWidth="1"/>
    <col min="4281" max="4281" width="2" style="35" customWidth="1"/>
    <col min="4282" max="4283" width="2.42578125" style="35" bestFit="1" customWidth="1"/>
    <col min="4284" max="4287" width="2" style="35" customWidth="1"/>
    <col min="4288" max="4288" width="11.7109375" style="35" customWidth="1"/>
    <col min="4289" max="4289" width="12.140625" style="35" customWidth="1"/>
    <col min="4290" max="4290" width="12.85546875" style="35" customWidth="1"/>
    <col min="4291" max="4291" width="14" style="35" customWidth="1"/>
    <col min="4292" max="4292" width="10.5703125" style="35" customWidth="1"/>
    <col min="4293" max="4293" width="12.140625" style="35" customWidth="1"/>
    <col min="4294" max="4294" width="7.42578125" style="35" customWidth="1"/>
    <col min="4295" max="4295" width="16" style="35" customWidth="1"/>
    <col min="4296" max="4297" width="11.42578125" style="35"/>
    <col min="4298" max="4298" width="13.140625" style="35" bestFit="1" customWidth="1"/>
    <col min="4299" max="4527" width="11.42578125" style="35"/>
    <col min="4528" max="4528" width="5.28515625" style="35" customWidth="1"/>
    <col min="4529" max="4529" width="26" style="35" customWidth="1"/>
    <col min="4530" max="4530" width="11.140625" style="35" customWidth="1"/>
    <col min="4531" max="4531" width="21.42578125" style="35" customWidth="1"/>
    <col min="4532" max="4532" width="2.140625" style="35" customWidth="1"/>
    <col min="4533" max="4535" width="2" style="35" customWidth="1"/>
    <col min="4536" max="4536" width="2.42578125" style="35" customWidth="1"/>
    <col min="4537" max="4537" width="2" style="35" customWidth="1"/>
    <col min="4538" max="4539" width="2.42578125" style="35" bestFit="1" customWidth="1"/>
    <col min="4540" max="4543" width="2" style="35" customWidth="1"/>
    <col min="4544" max="4544" width="11.7109375" style="35" customWidth="1"/>
    <col min="4545" max="4545" width="12.140625" style="35" customWidth="1"/>
    <col min="4546" max="4546" width="12.85546875" style="35" customWidth="1"/>
    <col min="4547" max="4547" width="14" style="35" customWidth="1"/>
    <col min="4548" max="4548" width="10.5703125" style="35" customWidth="1"/>
    <col min="4549" max="4549" width="12.140625" style="35" customWidth="1"/>
    <col min="4550" max="4550" width="7.42578125" style="35" customWidth="1"/>
    <col min="4551" max="4551" width="16" style="35" customWidth="1"/>
    <col min="4552" max="4553" width="11.42578125" style="35"/>
    <col min="4554" max="4554" width="13.140625" style="35" bestFit="1" customWidth="1"/>
    <col min="4555" max="4783" width="11.42578125" style="35"/>
    <col min="4784" max="4784" width="5.28515625" style="35" customWidth="1"/>
    <col min="4785" max="4785" width="26" style="35" customWidth="1"/>
    <col min="4786" max="4786" width="11.140625" style="35" customWidth="1"/>
    <col min="4787" max="4787" width="21.42578125" style="35" customWidth="1"/>
    <col min="4788" max="4788" width="2.140625" style="35" customWidth="1"/>
    <col min="4789" max="4791" width="2" style="35" customWidth="1"/>
    <col min="4792" max="4792" width="2.42578125" style="35" customWidth="1"/>
    <col min="4793" max="4793" width="2" style="35" customWidth="1"/>
    <col min="4794" max="4795" width="2.42578125" style="35" bestFit="1" customWidth="1"/>
    <col min="4796" max="4799" width="2" style="35" customWidth="1"/>
    <col min="4800" max="4800" width="11.7109375" style="35" customWidth="1"/>
    <col min="4801" max="4801" width="12.140625" style="35" customWidth="1"/>
    <col min="4802" max="4802" width="12.85546875" style="35" customWidth="1"/>
    <col min="4803" max="4803" width="14" style="35" customWidth="1"/>
    <col min="4804" max="4804" width="10.5703125" style="35" customWidth="1"/>
    <col min="4805" max="4805" width="12.140625" style="35" customWidth="1"/>
    <col min="4806" max="4806" width="7.42578125" style="35" customWidth="1"/>
    <col min="4807" max="4807" width="16" style="35" customWidth="1"/>
    <col min="4808" max="4809" width="11.42578125" style="35"/>
    <col min="4810" max="4810" width="13.140625" style="35" bestFit="1" customWidth="1"/>
    <col min="4811" max="5039" width="11.42578125" style="35"/>
    <col min="5040" max="5040" width="5.28515625" style="35" customWidth="1"/>
    <col min="5041" max="5041" width="26" style="35" customWidth="1"/>
    <col min="5042" max="5042" width="11.140625" style="35" customWidth="1"/>
    <col min="5043" max="5043" width="21.42578125" style="35" customWidth="1"/>
    <col min="5044" max="5044" width="2.140625" style="35" customWidth="1"/>
    <col min="5045" max="5047" width="2" style="35" customWidth="1"/>
    <col min="5048" max="5048" width="2.42578125" style="35" customWidth="1"/>
    <col min="5049" max="5049" width="2" style="35" customWidth="1"/>
    <col min="5050" max="5051" width="2.42578125" style="35" bestFit="1" customWidth="1"/>
    <col min="5052" max="5055" width="2" style="35" customWidth="1"/>
    <col min="5056" max="5056" width="11.7109375" style="35" customWidth="1"/>
    <col min="5057" max="5057" width="12.140625" style="35" customWidth="1"/>
    <col min="5058" max="5058" width="12.85546875" style="35" customWidth="1"/>
    <col min="5059" max="5059" width="14" style="35" customWidth="1"/>
    <col min="5060" max="5060" width="10.5703125" style="35" customWidth="1"/>
    <col min="5061" max="5061" width="12.140625" style="35" customWidth="1"/>
    <col min="5062" max="5062" width="7.42578125" style="35" customWidth="1"/>
    <col min="5063" max="5063" width="16" style="35" customWidth="1"/>
    <col min="5064" max="5065" width="11.42578125" style="35"/>
    <col min="5066" max="5066" width="13.140625" style="35" bestFit="1" customWidth="1"/>
    <col min="5067" max="5295" width="11.42578125" style="35"/>
    <col min="5296" max="5296" width="5.28515625" style="35" customWidth="1"/>
    <col min="5297" max="5297" width="26" style="35" customWidth="1"/>
    <col min="5298" max="5298" width="11.140625" style="35" customWidth="1"/>
    <col min="5299" max="5299" width="21.42578125" style="35" customWidth="1"/>
    <col min="5300" max="5300" width="2.140625" style="35" customWidth="1"/>
    <col min="5301" max="5303" width="2" style="35" customWidth="1"/>
    <col min="5304" max="5304" width="2.42578125" style="35" customWidth="1"/>
    <col min="5305" max="5305" width="2" style="35" customWidth="1"/>
    <col min="5306" max="5307" width="2.42578125" style="35" bestFit="1" customWidth="1"/>
    <col min="5308" max="5311" width="2" style="35" customWidth="1"/>
    <col min="5312" max="5312" width="11.7109375" style="35" customWidth="1"/>
    <col min="5313" max="5313" width="12.140625" style="35" customWidth="1"/>
    <col min="5314" max="5314" width="12.85546875" style="35" customWidth="1"/>
    <col min="5315" max="5315" width="14" style="35" customWidth="1"/>
    <col min="5316" max="5316" width="10.5703125" style="35" customWidth="1"/>
    <col min="5317" max="5317" width="12.140625" style="35" customWidth="1"/>
    <col min="5318" max="5318" width="7.42578125" style="35" customWidth="1"/>
    <col min="5319" max="5319" width="16" style="35" customWidth="1"/>
    <col min="5320" max="5321" width="11.42578125" style="35"/>
    <col min="5322" max="5322" width="13.140625" style="35" bestFit="1" customWidth="1"/>
    <col min="5323" max="5551" width="11.42578125" style="35"/>
    <col min="5552" max="5552" width="5.28515625" style="35" customWidth="1"/>
    <col min="5553" max="5553" width="26" style="35" customWidth="1"/>
    <col min="5554" max="5554" width="11.140625" style="35" customWidth="1"/>
    <col min="5555" max="5555" width="21.42578125" style="35" customWidth="1"/>
    <col min="5556" max="5556" width="2.140625" style="35" customWidth="1"/>
    <col min="5557" max="5559" width="2" style="35" customWidth="1"/>
    <col min="5560" max="5560" width="2.42578125" style="35" customWidth="1"/>
    <col min="5561" max="5561" width="2" style="35" customWidth="1"/>
    <col min="5562" max="5563" width="2.42578125" style="35" bestFit="1" customWidth="1"/>
    <col min="5564" max="5567" width="2" style="35" customWidth="1"/>
    <col min="5568" max="5568" width="11.7109375" style="35" customWidth="1"/>
    <col min="5569" max="5569" width="12.140625" style="35" customWidth="1"/>
    <col min="5570" max="5570" width="12.85546875" style="35" customWidth="1"/>
    <col min="5571" max="5571" width="14" style="35" customWidth="1"/>
    <col min="5572" max="5572" width="10.5703125" style="35" customWidth="1"/>
    <col min="5573" max="5573" width="12.140625" style="35" customWidth="1"/>
    <col min="5574" max="5574" width="7.42578125" style="35" customWidth="1"/>
    <col min="5575" max="5575" width="16" style="35" customWidth="1"/>
    <col min="5576" max="5577" width="11.42578125" style="35"/>
    <col min="5578" max="5578" width="13.140625" style="35" bestFit="1" customWidth="1"/>
    <col min="5579" max="5807" width="11.42578125" style="35"/>
    <col min="5808" max="5808" width="5.28515625" style="35" customWidth="1"/>
    <col min="5809" max="5809" width="26" style="35" customWidth="1"/>
    <col min="5810" max="5810" width="11.140625" style="35" customWidth="1"/>
    <col min="5811" max="5811" width="21.42578125" style="35" customWidth="1"/>
    <col min="5812" max="5812" width="2.140625" style="35" customWidth="1"/>
    <col min="5813" max="5815" width="2" style="35" customWidth="1"/>
    <col min="5816" max="5816" width="2.42578125" style="35" customWidth="1"/>
    <col min="5817" max="5817" width="2" style="35" customWidth="1"/>
    <col min="5818" max="5819" width="2.42578125" style="35" bestFit="1" customWidth="1"/>
    <col min="5820" max="5823" width="2" style="35" customWidth="1"/>
    <col min="5824" max="5824" width="11.7109375" style="35" customWidth="1"/>
    <col min="5825" max="5825" width="12.140625" style="35" customWidth="1"/>
    <col min="5826" max="5826" width="12.85546875" style="35" customWidth="1"/>
    <col min="5827" max="5827" width="14" style="35" customWidth="1"/>
    <col min="5828" max="5828" width="10.5703125" style="35" customWidth="1"/>
    <col min="5829" max="5829" width="12.140625" style="35" customWidth="1"/>
    <col min="5830" max="5830" width="7.42578125" style="35" customWidth="1"/>
    <col min="5831" max="5831" width="16" style="35" customWidth="1"/>
    <col min="5832" max="5833" width="11.42578125" style="35"/>
    <col min="5834" max="5834" width="13.140625" style="35" bestFit="1" customWidth="1"/>
    <col min="5835" max="6063" width="11.42578125" style="35"/>
    <col min="6064" max="6064" width="5.28515625" style="35" customWidth="1"/>
    <col min="6065" max="6065" width="26" style="35" customWidth="1"/>
    <col min="6066" max="6066" width="11.140625" style="35" customWidth="1"/>
    <col min="6067" max="6067" width="21.42578125" style="35" customWidth="1"/>
    <col min="6068" max="6068" width="2.140625" style="35" customWidth="1"/>
    <col min="6069" max="6071" width="2" style="35" customWidth="1"/>
    <col min="6072" max="6072" width="2.42578125" style="35" customWidth="1"/>
    <col min="6073" max="6073" width="2" style="35" customWidth="1"/>
    <col min="6074" max="6075" width="2.42578125" style="35" bestFit="1" customWidth="1"/>
    <col min="6076" max="6079" width="2" style="35" customWidth="1"/>
    <col min="6080" max="6080" width="11.7109375" style="35" customWidth="1"/>
    <col min="6081" max="6081" width="12.140625" style="35" customWidth="1"/>
    <col min="6082" max="6082" width="12.85546875" style="35" customWidth="1"/>
    <col min="6083" max="6083" width="14" style="35" customWidth="1"/>
    <col min="6084" max="6084" width="10.5703125" style="35" customWidth="1"/>
    <col min="6085" max="6085" width="12.140625" style="35" customWidth="1"/>
    <col min="6086" max="6086" width="7.42578125" style="35" customWidth="1"/>
    <col min="6087" max="6087" width="16" style="35" customWidth="1"/>
    <col min="6088" max="6089" width="11.42578125" style="35"/>
    <col min="6090" max="6090" width="13.140625" style="35" bestFit="1" customWidth="1"/>
    <col min="6091" max="6319" width="11.42578125" style="35"/>
    <col min="6320" max="6320" width="5.28515625" style="35" customWidth="1"/>
    <col min="6321" max="6321" width="26" style="35" customWidth="1"/>
    <col min="6322" max="6322" width="11.140625" style="35" customWidth="1"/>
    <col min="6323" max="6323" width="21.42578125" style="35" customWidth="1"/>
    <col min="6324" max="6324" width="2.140625" style="35" customWidth="1"/>
    <col min="6325" max="6327" width="2" style="35" customWidth="1"/>
    <col min="6328" max="6328" width="2.42578125" style="35" customWidth="1"/>
    <col min="6329" max="6329" width="2" style="35" customWidth="1"/>
    <col min="6330" max="6331" width="2.42578125" style="35" bestFit="1" customWidth="1"/>
    <col min="6332" max="6335" width="2" style="35" customWidth="1"/>
    <col min="6336" max="6336" width="11.7109375" style="35" customWidth="1"/>
    <col min="6337" max="6337" width="12.140625" style="35" customWidth="1"/>
    <col min="6338" max="6338" width="12.85546875" style="35" customWidth="1"/>
    <col min="6339" max="6339" width="14" style="35" customWidth="1"/>
    <col min="6340" max="6340" width="10.5703125" style="35" customWidth="1"/>
    <col min="6341" max="6341" width="12.140625" style="35" customWidth="1"/>
    <col min="6342" max="6342" width="7.42578125" style="35" customWidth="1"/>
    <col min="6343" max="6343" width="16" style="35" customWidth="1"/>
    <col min="6344" max="6345" width="11.42578125" style="35"/>
    <col min="6346" max="6346" width="13.140625" style="35" bestFit="1" customWidth="1"/>
    <col min="6347" max="6575" width="11.42578125" style="35"/>
    <col min="6576" max="6576" width="5.28515625" style="35" customWidth="1"/>
    <col min="6577" max="6577" width="26" style="35" customWidth="1"/>
    <col min="6578" max="6578" width="11.140625" style="35" customWidth="1"/>
    <col min="6579" max="6579" width="21.42578125" style="35" customWidth="1"/>
    <col min="6580" max="6580" width="2.140625" style="35" customWidth="1"/>
    <col min="6581" max="6583" width="2" style="35" customWidth="1"/>
    <col min="6584" max="6584" width="2.42578125" style="35" customWidth="1"/>
    <col min="6585" max="6585" width="2" style="35" customWidth="1"/>
    <col min="6586" max="6587" width="2.42578125" style="35" bestFit="1" customWidth="1"/>
    <col min="6588" max="6591" width="2" style="35" customWidth="1"/>
    <col min="6592" max="6592" width="11.7109375" style="35" customWidth="1"/>
    <col min="6593" max="6593" width="12.140625" style="35" customWidth="1"/>
    <col min="6594" max="6594" width="12.85546875" style="35" customWidth="1"/>
    <col min="6595" max="6595" width="14" style="35" customWidth="1"/>
    <col min="6596" max="6596" width="10.5703125" style="35" customWidth="1"/>
    <col min="6597" max="6597" width="12.140625" style="35" customWidth="1"/>
    <col min="6598" max="6598" width="7.42578125" style="35" customWidth="1"/>
    <col min="6599" max="6599" width="16" style="35" customWidth="1"/>
    <col min="6600" max="6601" width="11.42578125" style="35"/>
    <col min="6602" max="6602" width="13.140625" style="35" bestFit="1" customWidth="1"/>
    <col min="6603" max="6831" width="11.42578125" style="35"/>
    <col min="6832" max="6832" width="5.28515625" style="35" customWidth="1"/>
    <col min="6833" max="6833" width="26" style="35" customWidth="1"/>
    <col min="6834" max="6834" width="11.140625" style="35" customWidth="1"/>
    <col min="6835" max="6835" width="21.42578125" style="35" customWidth="1"/>
    <col min="6836" max="6836" width="2.140625" style="35" customWidth="1"/>
    <col min="6837" max="6839" width="2" style="35" customWidth="1"/>
    <col min="6840" max="6840" width="2.42578125" style="35" customWidth="1"/>
    <col min="6841" max="6841" width="2" style="35" customWidth="1"/>
    <col min="6842" max="6843" width="2.42578125" style="35" bestFit="1" customWidth="1"/>
    <col min="6844" max="6847" width="2" style="35" customWidth="1"/>
    <col min="6848" max="6848" width="11.7109375" style="35" customWidth="1"/>
    <col min="6849" max="6849" width="12.140625" style="35" customWidth="1"/>
    <col min="6850" max="6850" width="12.85546875" style="35" customWidth="1"/>
    <col min="6851" max="6851" width="14" style="35" customWidth="1"/>
    <col min="6852" max="6852" width="10.5703125" style="35" customWidth="1"/>
    <col min="6853" max="6853" width="12.140625" style="35" customWidth="1"/>
    <col min="6854" max="6854" width="7.42578125" style="35" customWidth="1"/>
    <col min="6855" max="6855" width="16" style="35" customWidth="1"/>
    <col min="6856" max="6857" width="11.42578125" style="35"/>
    <col min="6858" max="6858" width="13.140625" style="35" bestFit="1" customWidth="1"/>
    <col min="6859" max="7087" width="11.42578125" style="35"/>
    <col min="7088" max="7088" width="5.28515625" style="35" customWidth="1"/>
    <col min="7089" max="7089" width="26" style="35" customWidth="1"/>
    <col min="7090" max="7090" width="11.140625" style="35" customWidth="1"/>
    <col min="7091" max="7091" width="21.42578125" style="35" customWidth="1"/>
    <col min="7092" max="7092" width="2.140625" style="35" customWidth="1"/>
    <col min="7093" max="7095" width="2" style="35" customWidth="1"/>
    <col min="7096" max="7096" width="2.42578125" style="35" customWidth="1"/>
    <col min="7097" max="7097" width="2" style="35" customWidth="1"/>
    <col min="7098" max="7099" width="2.42578125" style="35" bestFit="1" customWidth="1"/>
    <col min="7100" max="7103" width="2" style="35" customWidth="1"/>
    <col min="7104" max="7104" width="11.7109375" style="35" customWidth="1"/>
    <col min="7105" max="7105" width="12.140625" style="35" customWidth="1"/>
    <col min="7106" max="7106" width="12.85546875" style="35" customWidth="1"/>
    <col min="7107" max="7107" width="14" style="35" customWidth="1"/>
    <col min="7108" max="7108" width="10.5703125" style="35" customWidth="1"/>
    <col min="7109" max="7109" width="12.140625" style="35" customWidth="1"/>
    <col min="7110" max="7110" width="7.42578125" style="35" customWidth="1"/>
    <col min="7111" max="7111" width="16" style="35" customWidth="1"/>
    <col min="7112" max="7113" width="11.42578125" style="35"/>
    <col min="7114" max="7114" width="13.140625" style="35" bestFit="1" customWidth="1"/>
    <col min="7115" max="7343" width="11.42578125" style="35"/>
    <col min="7344" max="7344" width="5.28515625" style="35" customWidth="1"/>
    <col min="7345" max="7345" width="26" style="35" customWidth="1"/>
    <col min="7346" max="7346" width="11.140625" style="35" customWidth="1"/>
    <col min="7347" max="7347" width="21.42578125" style="35" customWidth="1"/>
    <col min="7348" max="7348" width="2.140625" style="35" customWidth="1"/>
    <col min="7349" max="7351" width="2" style="35" customWidth="1"/>
    <col min="7352" max="7352" width="2.42578125" style="35" customWidth="1"/>
    <col min="7353" max="7353" width="2" style="35" customWidth="1"/>
    <col min="7354" max="7355" width="2.42578125" style="35" bestFit="1" customWidth="1"/>
    <col min="7356" max="7359" width="2" style="35" customWidth="1"/>
    <col min="7360" max="7360" width="11.7109375" style="35" customWidth="1"/>
    <col min="7361" max="7361" width="12.140625" style="35" customWidth="1"/>
    <col min="7362" max="7362" width="12.85546875" style="35" customWidth="1"/>
    <col min="7363" max="7363" width="14" style="35" customWidth="1"/>
    <col min="7364" max="7364" width="10.5703125" style="35" customWidth="1"/>
    <col min="7365" max="7365" width="12.140625" style="35" customWidth="1"/>
    <col min="7366" max="7366" width="7.42578125" style="35" customWidth="1"/>
    <col min="7367" max="7367" width="16" style="35" customWidth="1"/>
    <col min="7368" max="7369" width="11.42578125" style="35"/>
    <col min="7370" max="7370" width="13.140625" style="35" bestFit="1" customWidth="1"/>
    <col min="7371" max="7599" width="11.42578125" style="35"/>
    <col min="7600" max="7600" width="5.28515625" style="35" customWidth="1"/>
    <col min="7601" max="7601" width="26" style="35" customWidth="1"/>
    <col min="7602" max="7602" width="11.140625" style="35" customWidth="1"/>
    <col min="7603" max="7603" width="21.42578125" style="35" customWidth="1"/>
    <col min="7604" max="7604" width="2.140625" style="35" customWidth="1"/>
    <col min="7605" max="7607" width="2" style="35" customWidth="1"/>
    <col min="7608" max="7608" width="2.42578125" style="35" customWidth="1"/>
    <col min="7609" max="7609" width="2" style="35" customWidth="1"/>
    <col min="7610" max="7611" width="2.42578125" style="35" bestFit="1" customWidth="1"/>
    <col min="7612" max="7615" width="2" style="35" customWidth="1"/>
    <col min="7616" max="7616" width="11.7109375" style="35" customWidth="1"/>
    <col min="7617" max="7617" width="12.140625" style="35" customWidth="1"/>
    <col min="7618" max="7618" width="12.85546875" style="35" customWidth="1"/>
    <col min="7619" max="7619" width="14" style="35" customWidth="1"/>
    <col min="7620" max="7620" width="10.5703125" style="35" customWidth="1"/>
    <col min="7621" max="7621" width="12.140625" style="35" customWidth="1"/>
    <col min="7622" max="7622" width="7.42578125" style="35" customWidth="1"/>
    <col min="7623" max="7623" width="16" style="35" customWidth="1"/>
    <col min="7624" max="7625" width="11.42578125" style="35"/>
    <col min="7626" max="7626" width="13.140625" style="35" bestFit="1" customWidth="1"/>
    <col min="7627" max="7855" width="11.42578125" style="35"/>
    <col min="7856" max="7856" width="5.28515625" style="35" customWidth="1"/>
    <col min="7857" max="7857" width="26" style="35" customWidth="1"/>
    <col min="7858" max="7858" width="11.140625" style="35" customWidth="1"/>
    <col min="7859" max="7859" width="21.42578125" style="35" customWidth="1"/>
    <col min="7860" max="7860" width="2.140625" style="35" customWidth="1"/>
    <col min="7861" max="7863" width="2" style="35" customWidth="1"/>
    <col min="7864" max="7864" width="2.42578125" style="35" customWidth="1"/>
    <col min="7865" max="7865" width="2" style="35" customWidth="1"/>
    <col min="7866" max="7867" width="2.42578125" style="35" bestFit="1" customWidth="1"/>
    <col min="7868" max="7871" width="2" style="35" customWidth="1"/>
    <col min="7872" max="7872" width="11.7109375" style="35" customWidth="1"/>
    <col min="7873" max="7873" width="12.140625" style="35" customWidth="1"/>
    <col min="7874" max="7874" width="12.85546875" style="35" customWidth="1"/>
    <col min="7875" max="7875" width="14" style="35" customWidth="1"/>
    <col min="7876" max="7876" width="10.5703125" style="35" customWidth="1"/>
    <col min="7877" max="7877" width="12.140625" style="35" customWidth="1"/>
    <col min="7878" max="7878" width="7.42578125" style="35" customWidth="1"/>
    <col min="7879" max="7879" width="16" style="35" customWidth="1"/>
    <col min="7880" max="7881" width="11.42578125" style="35"/>
    <col min="7882" max="7882" width="13.140625" style="35" bestFit="1" customWidth="1"/>
    <col min="7883" max="8111" width="11.42578125" style="35"/>
    <col min="8112" max="8112" width="5.28515625" style="35" customWidth="1"/>
    <col min="8113" max="8113" width="26" style="35" customWidth="1"/>
    <col min="8114" max="8114" width="11.140625" style="35" customWidth="1"/>
    <col min="8115" max="8115" width="21.42578125" style="35" customWidth="1"/>
    <col min="8116" max="8116" width="2.140625" style="35" customWidth="1"/>
    <col min="8117" max="8119" width="2" style="35" customWidth="1"/>
    <col min="8120" max="8120" width="2.42578125" style="35" customWidth="1"/>
    <col min="8121" max="8121" width="2" style="35" customWidth="1"/>
    <col min="8122" max="8123" width="2.42578125" style="35" bestFit="1" customWidth="1"/>
    <col min="8124" max="8127" width="2" style="35" customWidth="1"/>
    <col min="8128" max="8128" width="11.7109375" style="35" customWidth="1"/>
    <col min="8129" max="8129" width="12.140625" style="35" customWidth="1"/>
    <col min="8130" max="8130" width="12.85546875" style="35" customWidth="1"/>
    <col min="8131" max="8131" width="14" style="35" customWidth="1"/>
    <col min="8132" max="8132" width="10.5703125" style="35" customWidth="1"/>
    <col min="8133" max="8133" width="12.140625" style="35" customWidth="1"/>
    <col min="8134" max="8134" width="7.42578125" style="35" customWidth="1"/>
    <col min="8135" max="8135" width="16" style="35" customWidth="1"/>
    <col min="8136" max="8137" width="11.42578125" style="35"/>
    <col min="8138" max="8138" width="13.140625" style="35" bestFit="1" customWidth="1"/>
    <col min="8139" max="8367" width="11.42578125" style="35"/>
    <col min="8368" max="8368" width="5.28515625" style="35" customWidth="1"/>
    <col min="8369" max="8369" width="26" style="35" customWidth="1"/>
    <col min="8370" max="8370" width="11.140625" style="35" customWidth="1"/>
    <col min="8371" max="8371" width="21.42578125" style="35" customWidth="1"/>
    <col min="8372" max="8372" width="2.140625" style="35" customWidth="1"/>
    <col min="8373" max="8375" width="2" style="35" customWidth="1"/>
    <col min="8376" max="8376" width="2.42578125" style="35" customWidth="1"/>
    <col min="8377" max="8377" width="2" style="35" customWidth="1"/>
    <col min="8378" max="8379" width="2.42578125" style="35" bestFit="1" customWidth="1"/>
    <col min="8380" max="8383" width="2" style="35" customWidth="1"/>
    <col min="8384" max="8384" width="11.7109375" style="35" customWidth="1"/>
    <col min="8385" max="8385" width="12.140625" style="35" customWidth="1"/>
    <col min="8386" max="8386" width="12.85546875" style="35" customWidth="1"/>
    <col min="8387" max="8387" width="14" style="35" customWidth="1"/>
    <col min="8388" max="8388" width="10.5703125" style="35" customWidth="1"/>
    <col min="8389" max="8389" width="12.140625" style="35" customWidth="1"/>
    <col min="8390" max="8390" width="7.42578125" style="35" customWidth="1"/>
    <col min="8391" max="8391" width="16" style="35" customWidth="1"/>
    <col min="8392" max="8393" width="11.42578125" style="35"/>
    <col min="8394" max="8394" width="13.140625" style="35" bestFit="1" customWidth="1"/>
    <col min="8395" max="8623" width="11.42578125" style="35"/>
    <col min="8624" max="8624" width="5.28515625" style="35" customWidth="1"/>
    <col min="8625" max="8625" width="26" style="35" customWidth="1"/>
    <col min="8626" max="8626" width="11.140625" style="35" customWidth="1"/>
    <col min="8627" max="8627" width="21.42578125" style="35" customWidth="1"/>
    <col min="8628" max="8628" width="2.140625" style="35" customWidth="1"/>
    <col min="8629" max="8631" width="2" style="35" customWidth="1"/>
    <col min="8632" max="8632" width="2.42578125" style="35" customWidth="1"/>
    <col min="8633" max="8633" width="2" style="35" customWidth="1"/>
    <col min="8634" max="8635" width="2.42578125" style="35" bestFit="1" customWidth="1"/>
    <col min="8636" max="8639" width="2" style="35" customWidth="1"/>
    <col min="8640" max="8640" width="11.7109375" style="35" customWidth="1"/>
    <col min="8641" max="8641" width="12.140625" style="35" customWidth="1"/>
    <col min="8642" max="8642" width="12.85546875" style="35" customWidth="1"/>
    <col min="8643" max="8643" width="14" style="35" customWidth="1"/>
    <col min="8644" max="8644" width="10.5703125" style="35" customWidth="1"/>
    <col min="8645" max="8645" width="12.140625" style="35" customWidth="1"/>
    <col min="8646" max="8646" width="7.42578125" style="35" customWidth="1"/>
    <col min="8647" max="8647" width="16" style="35" customWidth="1"/>
    <col min="8648" max="8649" width="11.42578125" style="35"/>
    <col min="8650" max="8650" width="13.140625" style="35" bestFit="1" customWidth="1"/>
    <col min="8651" max="8879" width="11.42578125" style="35"/>
    <col min="8880" max="8880" width="5.28515625" style="35" customWidth="1"/>
    <col min="8881" max="8881" width="26" style="35" customWidth="1"/>
    <col min="8882" max="8882" width="11.140625" style="35" customWidth="1"/>
    <col min="8883" max="8883" width="21.42578125" style="35" customWidth="1"/>
    <col min="8884" max="8884" width="2.140625" style="35" customWidth="1"/>
    <col min="8885" max="8887" width="2" style="35" customWidth="1"/>
    <col min="8888" max="8888" width="2.42578125" style="35" customWidth="1"/>
    <col min="8889" max="8889" width="2" style="35" customWidth="1"/>
    <col min="8890" max="8891" width="2.42578125" style="35" bestFit="1" customWidth="1"/>
    <col min="8892" max="8895" width="2" style="35" customWidth="1"/>
    <col min="8896" max="8896" width="11.7109375" style="35" customWidth="1"/>
    <col min="8897" max="8897" width="12.140625" style="35" customWidth="1"/>
    <col min="8898" max="8898" width="12.85546875" style="35" customWidth="1"/>
    <col min="8899" max="8899" width="14" style="35" customWidth="1"/>
    <col min="8900" max="8900" width="10.5703125" style="35" customWidth="1"/>
    <col min="8901" max="8901" width="12.140625" style="35" customWidth="1"/>
    <col min="8902" max="8902" width="7.42578125" style="35" customWidth="1"/>
    <col min="8903" max="8903" width="16" style="35" customWidth="1"/>
    <col min="8904" max="8905" width="11.42578125" style="35"/>
    <col min="8906" max="8906" width="13.140625" style="35" bestFit="1" customWidth="1"/>
    <col min="8907" max="9135" width="11.42578125" style="35"/>
    <col min="9136" max="9136" width="5.28515625" style="35" customWidth="1"/>
    <col min="9137" max="9137" width="26" style="35" customWidth="1"/>
    <col min="9138" max="9138" width="11.140625" style="35" customWidth="1"/>
    <col min="9139" max="9139" width="21.42578125" style="35" customWidth="1"/>
    <col min="9140" max="9140" width="2.140625" style="35" customWidth="1"/>
    <col min="9141" max="9143" width="2" style="35" customWidth="1"/>
    <col min="9144" max="9144" width="2.42578125" style="35" customWidth="1"/>
    <col min="9145" max="9145" width="2" style="35" customWidth="1"/>
    <col min="9146" max="9147" width="2.42578125" style="35" bestFit="1" customWidth="1"/>
    <col min="9148" max="9151" width="2" style="35" customWidth="1"/>
    <col min="9152" max="9152" width="11.7109375" style="35" customWidth="1"/>
    <col min="9153" max="9153" width="12.140625" style="35" customWidth="1"/>
    <col min="9154" max="9154" width="12.85546875" style="35" customWidth="1"/>
    <col min="9155" max="9155" width="14" style="35" customWidth="1"/>
    <col min="9156" max="9156" width="10.5703125" style="35" customWidth="1"/>
    <col min="9157" max="9157" width="12.140625" style="35" customWidth="1"/>
    <col min="9158" max="9158" width="7.42578125" style="35" customWidth="1"/>
    <col min="9159" max="9159" width="16" style="35" customWidth="1"/>
    <col min="9160" max="9161" width="11.42578125" style="35"/>
    <col min="9162" max="9162" width="13.140625" style="35" bestFit="1" customWidth="1"/>
    <col min="9163" max="9391" width="11.42578125" style="35"/>
    <col min="9392" max="9392" width="5.28515625" style="35" customWidth="1"/>
    <col min="9393" max="9393" width="26" style="35" customWidth="1"/>
    <col min="9394" max="9394" width="11.140625" style="35" customWidth="1"/>
    <col min="9395" max="9395" width="21.42578125" style="35" customWidth="1"/>
    <col min="9396" max="9396" width="2.140625" style="35" customWidth="1"/>
    <col min="9397" max="9399" width="2" style="35" customWidth="1"/>
    <col min="9400" max="9400" width="2.42578125" style="35" customWidth="1"/>
    <col min="9401" max="9401" width="2" style="35" customWidth="1"/>
    <col min="9402" max="9403" width="2.42578125" style="35" bestFit="1" customWidth="1"/>
    <col min="9404" max="9407" width="2" style="35" customWidth="1"/>
    <col min="9408" max="9408" width="11.7109375" style="35" customWidth="1"/>
    <col min="9409" max="9409" width="12.140625" style="35" customWidth="1"/>
    <col min="9410" max="9410" width="12.85546875" style="35" customWidth="1"/>
    <col min="9411" max="9411" width="14" style="35" customWidth="1"/>
    <col min="9412" max="9412" width="10.5703125" style="35" customWidth="1"/>
    <col min="9413" max="9413" width="12.140625" style="35" customWidth="1"/>
    <col min="9414" max="9414" width="7.42578125" style="35" customWidth="1"/>
    <col min="9415" max="9415" width="16" style="35" customWidth="1"/>
    <col min="9416" max="9417" width="11.42578125" style="35"/>
    <col min="9418" max="9418" width="13.140625" style="35" bestFit="1" customWidth="1"/>
    <col min="9419" max="9647" width="11.42578125" style="35"/>
    <col min="9648" max="9648" width="5.28515625" style="35" customWidth="1"/>
    <col min="9649" max="9649" width="26" style="35" customWidth="1"/>
    <col min="9650" max="9650" width="11.140625" style="35" customWidth="1"/>
    <col min="9651" max="9651" width="21.42578125" style="35" customWidth="1"/>
    <col min="9652" max="9652" width="2.140625" style="35" customWidth="1"/>
    <col min="9653" max="9655" width="2" style="35" customWidth="1"/>
    <col min="9656" max="9656" width="2.42578125" style="35" customWidth="1"/>
    <col min="9657" max="9657" width="2" style="35" customWidth="1"/>
    <col min="9658" max="9659" width="2.42578125" style="35" bestFit="1" customWidth="1"/>
    <col min="9660" max="9663" width="2" style="35" customWidth="1"/>
    <col min="9664" max="9664" width="11.7109375" style="35" customWidth="1"/>
    <col min="9665" max="9665" width="12.140625" style="35" customWidth="1"/>
    <col min="9666" max="9666" width="12.85546875" style="35" customWidth="1"/>
    <col min="9667" max="9667" width="14" style="35" customWidth="1"/>
    <col min="9668" max="9668" width="10.5703125" style="35" customWidth="1"/>
    <col min="9669" max="9669" width="12.140625" style="35" customWidth="1"/>
    <col min="9670" max="9670" width="7.42578125" style="35" customWidth="1"/>
    <col min="9671" max="9671" width="16" style="35" customWidth="1"/>
    <col min="9672" max="9673" width="11.42578125" style="35"/>
    <col min="9674" max="9674" width="13.140625" style="35" bestFit="1" customWidth="1"/>
    <col min="9675" max="9903" width="11.42578125" style="35"/>
    <col min="9904" max="9904" width="5.28515625" style="35" customWidth="1"/>
    <col min="9905" max="9905" width="26" style="35" customWidth="1"/>
    <col min="9906" max="9906" width="11.140625" style="35" customWidth="1"/>
    <col min="9907" max="9907" width="21.42578125" style="35" customWidth="1"/>
    <col min="9908" max="9908" width="2.140625" style="35" customWidth="1"/>
    <col min="9909" max="9911" width="2" style="35" customWidth="1"/>
    <col min="9912" max="9912" width="2.42578125" style="35" customWidth="1"/>
    <col min="9913" max="9913" width="2" style="35" customWidth="1"/>
    <col min="9914" max="9915" width="2.42578125" style="35" bestFit="1" customWidth="1"/>
    <col min="9916" max="9919" width="2" style="35" customWidth="1"/>
    <col min="9920" max="9920" width="11.7109375" style="35" customWidth="1"/>
    <col min="9921" max="9921" width="12.140625" style="35" customWidth="1"/>
    <col min="9922" max="9922" width="12.85546875" style="35" customWidth="1"/>
    <col min="9923" max="9923" width="14" style="35" customWidth="1"/>
    <col min="9924" max="9924" width="10.5703125" style="35" customWidth="1"/>
    <col min="9925" max="9925" width="12.140625" style="35" customWidth="1"/>
    <col min="9926" max="9926" width="7.42578125" style="35" customWidth="1"/>
    <col min="9927" max="9927" width="16" style="35" customWidth="1"/>
    <col min="9928" max="9929" width="11.42578125" style="35"/>
    <col min="9930" max="9930" width="13.140625" style="35" bestFit="1" customWidth="1"/>
    <col min="9931" max="10159" width="11.42578125" style="35"/>
    <col min="10160" max="10160" width="5.28515625" style="35" customWidth="1"/>
    <col min="10161" max="10161" width="26" style="35" customWidth="1"/>
    <col min="10162" max="10162" width="11.140625" style="35" customWidth="1"/>
    <col min="10163" max="10163" width="21.42578125" style="35" customWidth="1"/>
    <col min="10164" max="10164" width="2.140625" style="35" customWidth="1"/>
    <col min="10165" max="10167" width="2" style="35" customWidth="1"/>
    <col min="10168" max="10168" width="2.42578125" style="35" customWidth="1"/>
    <col min="10169" max="10169" width="2" style="35" customWidth="1"/>
    <col min="10170" max="10171" width="2.42578125" style="35" bestFit="1" customWidth="1"/>
    <col min="10172" max="10175" width="2" style="35" customWidth="1"/>
    <col min="10176" max="10176" width="11.7109375" style="35" customWidth="1"/>
    <col min="10177" max="10177" width="12.140625" style="35" customWidth="1"/>
    <col min="10178" max="10178" width="12.85546875" style="35" customWidth="1"/>
    <col min="10179" max="10179" width="14" style="35" customWidth="1"/>
    <col min="10180" max="10180" width="10.5703125" style="35" customWidth="1"/>
    <col min="10181" max="10181" width="12.140625" style="35" customWidth="1"/>
    <col min="10182" max="10182" width="7.42578125" style="35" customWidth="1"/>
    <col min="10183" max="10183" width="16" style="35" customWidth="1"/>
    <col min="10184" max="10185" width="11.42578125" style="35"/>
    <col min="10186" max="10186" width="13.140625" style="35" bestFit="1" customWidth="1"/>
    <col min="10187" max="10415" width="11.42578125" style="35"/>
    <col min="10416" max="10416" width="5.28515625" style="35" customWidth="1"/>
    <col min="10417" max="10417" width="26" style="35" customWidth="1"/>
    <col min="10418" max="10418" width="11.140625" style="35" customWidth="1"/>
    <col min="10419" max="10419" width="21.42578125" style="35" customWidth="1"/>
    <col min="10420" max="10420" width="2.140625" style="35" customWidth="1"/>
    <col min="10421" max="10423" width="2" style="35" customWidth="1"/>
    <col min="10424" max="10424" width="2.42578125" style="35" customWidth="1"/>
    <col min="10425" max="10425" width="2" style="35" customWidth="1"/>
    <col min="10426" max="10427" width="2.42578125" style="35" bestFit="1" customWidth="1"/>
    <col min="10428" max="10431" width="2" style="35" customWidth="1"/>
    <col min="10432" max="10432" width="11.7109375" style="35" customWidth="1"/>
    <col min="10433" max="10433" width="12.140625" style="35" customWidth="1"/>
    <col min="10434" max="10434" width="12.85546875" style="35" customWidth="1"/>
    <col min="10435" max="10435" width="14" style="35" customWidth="1"/>
    <col min="10436" max="10436" width="10.5703125" style="35" customWidth="1"/>
    <col min="10437" max="10437" width="12.140625" style="35" customWidth="1"/>
    <col min="10438" max="10438" width="7.42578125" style="35" customWidth="1"/>
    <col min="10439" max="10439" width="16" style="35" customWidth="1"/>
    <col min="10440" max="10441" width="11.42578125" style="35"/>
    <col min="10442" max="10442" width="13.140625" style="35" bestFit="1" customWidth="1"/>
    <col min="10443" max="10671" width="11.42578125" style="35"/>
    <col min="10672" max="10672" width="5.28515625" style="35" customWidth="1"/>
    <col min="10673" max="10673" width="26" style="35" customWidth="1"/>
    <col min="10674" max="10674" width="11.140625" style="35" customWidth="1"/>
    <col min="10675" max="10675" width="21.42578125" style="35" customWidth="1"/>
    <col min="10676" max="10676" width="2.140625" style="35" customWidth="1"/>
    <col min="10677" max="10679" width="2" style="35" customWidth="1"/>
    <col min="10680" max="10680" width="2.42578125" style="35" customWidth="1"/>
    <col min="10681" max="10681" width="2" style="35" customWidth="1"/>
    <col min="10682" max="10683" width="2.42578125" style="35" bestFit="1" customWidth="1"/>
    <col min="10684" max="10687" width="2" style="35" customWidth="1"/>
    <col min="10688" max="10688" width="11.7109375" style="35" customWidth="1"/>
    <col min="10689" max="10689" width="12.140625" style="35" customWidth="1"/>
    <col min="10690" max="10690" width="12.85546875" style="35" customWidth="1"/>
    <col min="10691" max="10691" width="14" style="35" customWidth="1"/>
    <col min="10692" max="10692" width="10.5703125" style="35" customWidth="1"/>
    <col min="10693" max="10693" width="12.140625" style="35" customWidth="1"/>
    <col min="10694" max="10694" width="7.42578125" style="35" customWidth="1"/>
    <col min="10695" max="10695" width="16" style="35" customWidth="1"/>
    <col min="10696" max="10697" width="11.42578125" style="35"/>
    <col min="10698" max="10698" width="13.140625" style="35" bestFit="1" customWidth="1"/>
    <col min="10699" max="10927" width="11.42578125" style="35"/>
    <col min="10928" max="10928" width="5.28515625" style="35" customWidth="1"/>
    <col min="10929" max="10929" width="26" style="35" customWidth="1"/>
    <col min="10930" max="10930" width="11.140625" style="35" customWidth="1"/>
    <col min="10931" max="10931" width="21.42578125" style="35" customWidth="1"/>
    <col min="10932" max="10932" width="2.140625" style="35" customWidth="1"/>
    <col min="10933" max="10935" width="2" style="35" customWidth="1"/>
    <col min="10936" max="10936" width="2.42578125" style="35" customWidth="1"/>
    <col min="10937" max="10937" width="2" style="35" customWidth="1"/>
    <col min="10938" max="10939" width="2.42578125" style="35" bestFit="1" customWidth="1"/>
    <col min="10940" max="10943" width="2" style="35" customWidth="1"/>
    <col min="10944" max="10944" width="11.7109375" style="35" customWidth="1"/>
    <col min="10945" max="10945" width="12.140625" style="35" customWidth="1"/>
    <col min="10946" max="10946" width="12.85546875" style="35" customWidth="1"/>
    <col min="10947" max="10947" width="14" style="35" customWidth="1"/>
    <col min="10948" max="10948" width="10.5703125" style="35" customWidth="1"/>
    <col min="10949" max="10949" width="12.140625" style="35" customWidth="1"/>
    <col min="10950" max="10950" width="7.42578125" style="35" customWidth="1"/>
    <col min="10951" max="10951" width="16" style="35" customWidth="1"/>
    <col min="10952" max="10953" width="11.42578125" style="35"/>
    <col min="10954" max="10954" width="13.140625" style="35" bestFit="1" customWidth="1"/>
    <col min="10955" max="11183" width="11.42578125" style="35"/>
    <col min="11184" max="11184" width="5.28515625" style="35" customWidth="1"/>
    <col min="11185" max="11185" width="26" style="35" customWidth="1"/>
    <col min="11186" max="11186" width="11.140625" style="35" customWidth="1"/>
    <col min="11187" max="11187" width="21.42578125" style="35" customWidth="1"/>
    <col min="11188" max="11188" width="2.140625" style="35" customWidth="1"/>
    <col min="11189" max="11191" width="2" style="35" customWidth="1"/>
    <col min="11192" max="11192" width="2.42578125" style="35" customWidth="1"/>
    <col min="11193" max="11193" width="2" style="35" customWidth="1"/>
    <col min="11194" max="11195" width="2.42578125" style="35" bestFit="1" customWidth="1"/>
    <col min="11196" max="11199" width="2" style="35" customWidth="1"/>
    <col min="11200" max="11200" width="11.7109375" style="35" customWidth="1"/>
    <col min="11201" max="11201" width="12.140625" style="35" customWidth="1"/>
    <col min="11202" max="11202" width="12.85546875" style="35" customWidth="1"/>
    <col min="11203" max="11203" width="14" style="35" customWidth="1"/>
    <col min="11204" max="11204" width="10.5703125" style="35" customWidth="1"/>
    <col min="11205" max="11205" width="12.140625" style="35" customWidth="1"/>
    <col min="11206" max="11206" width="7.42578125" style="35" customWidth="1"/>
    <col min="11207" max="11207" width="16" style="35" customWidth="1"/>
    <col min="11208" max="11209" width="11.42578125" style="35"/>
    <col min="11210" max="11210" width="13.140625" style="35" bestFit="1" customWidth="1"/>
    <col min="11211" max="11439" width="11.42578125" style="35"/>
    <col min="11440" max="11440" width="5.28515625" style="35" customWidth="1"/>
    <col min="11441" max="11441" width="26" style="35" customWidth="1"/>
    <col min="11442" max="11442" width="11.140625" style="35" customWidth="1"/>
    <col min="11443" max="11443" width="21.42578125" style="35" customWidth="1"/>
    <col min="11444" max="11444" width="2.140625" style="35" customWidth="1"/>
    <col min="11445" max="11447" width="2" style="35" customWidth="1"/>
    <col min="11448" max="11448" width="2.42578125" style="35" customWidth="1"/>
    <col min="11449" max="11449" width="2" style="35" customWidth="1"/>
    <col min="11450" max="11451" width="2.42578125" style="35" bestFit="1" customWidth="1"/>
    <col min="11452" max="11455" width="2" style="35" customWidth="1"/>
    <col min="11456" max="11456" width="11.7109375" style="35" customWidth="1"/>
    <col min="11457" max="11457" width="12.140625" style="35" customWidth="1"/>
    <col min="11458" max="11458" width="12.85546875" style="35" customWidth="1"/>
    <col min="11459" max="11459" width="14" style="35" customWidth="1"/>
    <col min="11460" max="11460" width="10.5703125" style="35" customWidth="1"/>
    <col min="11461" max="11461" width="12.140625" style="35" customWidth="1"/>
    <col min="11462" max="11462" width="7.42578125" style="35" customWidth="1"/>
    <col min="11463" max="11463" width="16" style="35" customWidth="1"/>
    <col min="11464" max="11465" width="11.42578125" style="35"/>
    <col min="11466" max="11466" width="13.140625" style="35" bestFit="1" customWidth="1"/>
    <col min="11467" max="11695" width="11.42578125" style="35"/>
    <col min="11696" max="11696" width="5.28515625" style="35" customWidth="1"/>
    <col min="11697" max="11697" width="26" style="35" customWidth="1"/>
    <col min="11698" max="11698" width="11.140625" style="35" customWidth="1"/>
    <col min="11699" max="11699" width="21.42578125" style="35" customWidth="1"/>
    <col min="11700" max="11700" width="2.140625" style="35" customWidth="1"/>
    <col min="11701" max="11703" width="2" style="35" customWidth="1"/>
    <col min="11704" max="11704" width="2.42578125" style="35" customWidth="1"/>
    <col min="11705" max="11705" width="2" style="35" customWidth="1"/>
    <col min="11706" max="11707" width="2.42578125" style="35" bestFit="1" customWidth="1"/>
    <col min="11708" max="11711" width="2" style="35" customWidth="1"/>
    <col min="11712" max="11712" width="11.7109375" style="35" customWidth="1"/>
    <col min="11713" max="11713" width="12.140625" style="35" customWidth="1"/>
    <col min="11714" max="11714" width="12.85546875" style="35" customWidth="1"/>
    <col min="11715" max="11715" width="14" style="35" customWidth="1"/>
    <col min="11716" max="11716" width="10.5703125" style="35" customWidth="1"/>
    <col min="11717" max="11717" width="12.140625" style="35" customWidth="1"/>
    <col min="11718" max="11718" width="7.42578125" style="35" customWidth="1"/>
    <col min="11719" max="11719" width="16" style="35" customWidth="1"/>
    <col min="11720" max="11721" width="11.42578125" style="35"/>
    <col min="11722" max="11722" width="13.140625" style="35" bestFit="1" customWidth="1"/>
    <col min="11723" max="11951" width="11.42578125" style="35"/>
    <col min="11952" max="11952" width="5.28515625" style="35" customWidth="1"/>
    <col min="11953" max="11953" width="26" style="35" customWidth="1"/>
    <col min="11954" max="11954" width="11.140625" style="35" customWidth="1"/>
    <col min="11955" max="11955" width="21.42578125" style="35" customWidth="1"/>
    <col min="11956" max="11956" width="2.140625" style="35" customWidth="1"/>
    <col min="11957" max="11959" width="2" style="35" customWidth="1"/>
    <col min="11960" max="11960" width="2.42578125" style="35" customWidth="1"/>
    <col min="11961" max="11961" width="2" style="35" customWidth="1"/>
    <col min="11962" max="11963" width="2.42578125" style="35" bestFit="1" customWidth="1"/>
    <col min="11964" max="11967" width="2" style="35" customWidth="1"/>
    <col min="11968" max="11968" width="11.7109375" style="35" customWidth="1"/>
    <col min="11969" max="11969" width="12.140625" style="35" customWidth="1"/>
    <col min="11970" max="11970" width="12.85546875" style="35" customWidth="1"/>
    <col min="11971" max="11971" width="14" style="35" customWidth="1"/>
    <col min="11972" max="11972" width="10.5703125" style="35" customWidth="1"/>
    <col min="11973" max="11973" width="12.140625" style="35" customWidth="1"/>
    <col min="11974" max="11974" width="7.42578125" style="35" customWidth="1"/>
    <col min="11975" max="11975" width="16" style="35" customWidth="1"/>
    <col min="11976" max="11977" width="11.42578125" style="35"/>
    <col min="11978" max="11978" width="13.140625" style="35" bestFit="1" customWidth="1"/>
    <col min="11979" max="12207" width="11.42578125" style="35"/>
    <col min="12208" max="12208" width="5.28515625" style="35" customWidth="1"/>
    <col min="12209" max="12209" width="26" style="35" customWidth="1"/>
    <col min="12210" max="12210" width="11.140625" style="35" customWidth="1"/>
    <col min="12211" max="12211" width="21.42578125" style="35" customWidth="1"/>
    <col min="12212" max="12212" width="2.140625" style="35" customWidth="1"/>
    <col min="12213" max="12215" width="2" style="35" customWidth="1"/>
    <col min="12216" max="12216" width="2.42578125" style="35" customWidth="1"/>
    <col min="12217" max="12217" width="2" style="35" customWidth="1"/>
    <col min="12218" max="12219" width="2.42578125" style="35" bestFit="1" customWidth="1"/>
    <col min="12220" max="12223" width="2" style="35" customWidth="1"/>
    <col min="12224" max="12224" width="11.7109375" style="35" customWidth="1"/>
    <col min="12225" max="12225" width="12.140625" style="35" customWidth="1"/>
    <col min="12226" max="12226" width="12.85546875" style="35" customWidth="1"/>
    <col min="12227" max="12227" width="14" style="35" customWidth="1"/>
    <col min="12228" max="12228" width="10.5703125" style="35" customWidth="1"/>
    <col min="12229" max="12229" width="12.140625" style="35" customWidth="1"/>
    <col min="12230" max="12230" width="7.42578125" style="35" customWidth="1"/>
    <col min="12231" max="12231" width="16" style="35" customWidth="1"/>
    <col min="12232" max="12233" width="11.42578125" style="35"/>
    <col min="12234" max="12234" width="13.140625" style="35" bestFit="1" customWidth="1"/>
    <col min="12235" max="12463" width="11.42578125" style="35"/>
    <col min="12464" max="12464" width="5.28515625" style="35" customWidth="1"/>
    <col min="12465" max="12465" width="26" style="35" customWidth="1"/>
    <col min="12466" max="12466" width="11.140625" style="35" customWidth="1"/>
    <col min="12467" max="12467" width="21.42578125" style="35" customWidth="1"/>
    <col min="12468" max="12468" width="2.140625" style="35" customWidth="1"/>
    <col min="12469" max="12471" width="2" style="35" customWidth="1"/>
    <col min="12472" max="12472" width="2.42578125" style="35" customWidth="1"/>
    <col min="12473" max="12473" width="2" style="35" customWidth="1"/>
    <col min="12474" max="12475" width="2.42578125" style="35" bestFit="1" customWidth="1"/>
    <col min="12476" max="12479" width="2" style="35" customWidth="1"/>
    <col min="12480" max="12480" width="11.7109375" style="35" customWidth="1"/>
    <col min="12481" max="12481" width="12.140625" style="35" customWidth="1"/>
    <col min="12482" max="12482" width="12.85546875" style="35" customWidth="1"/>
    <col min="12483" max="12483" width="14" style="35" customWidth="1"/>
    <col min="12484" max="12484" width="10.5703125" style="35" customWidth="1"/>
    <col min="12485" max="12485" width="12.140625" style="35" customWidth="1"/>
    <col min="12486" max="12486" width="7.42578125" style="35" customWidth="1"/>
    <col min="12487" max="12487" width="16" style="35" customWidth="1"/>
    <col min="12488" max="12489" width="11.42578125" style="35"/>
    <col min="12490" max="12490" width="13.140625" style="35" bestFit="1" customWidth="1"/>
    <col min="12491" max="12719" width="11.42578125" style="35"/>
    <col min="12720" max="12720" width="5.28515625" style="35" customWidth="1"/>
    <col min="12721" max="12721" width="26" style="35" customWidth="1"/>
    <col min="12722" max="12722" width="11.140625" style="35" customWidth="1"/>
    <col min="12723" max="12723" width="21.42578125" style="35" customWidth="1"/>
    <col min="12724" max="12724" width="2.140625" style="35" customWidth="1"/>
    <col min="12725" max="12727" width="2" style="35" customWidth="1"/>
    <col min="12728" max="12728" width="2.42578125" style="35" customWidth="1"/>
    <col min="12729" max="12729" width="2" style="35" customWidth="1"/>
    <col min="12730" max="12731" width="2.42578125" style="35" bestFit="1" customWidth="1"/>
    <col min="12732" max="12735" width="2" style="35" customWidth="1"/>
    <col min="12736" max="12736" width="11.7109375" style="35" customWidth="1"/>
    <col min="12737" max="12737" width="12.140625" style="35" customWidth="1"/>
    <col min="12738" max="12738" width="12.85546875" style="35" customWidth="1"/>
    <col min="12739" max="12739" width="14" style="35" customWidth="1"/>
    <col min="12740" max="12740" width="10.5703125" style="35" customWidth="1"/>
    <col min="12741" max="12741" width="12.140625" style="35" customWidth="1"/>
    <col min="12742" max="12742" width="7.42578125" style="35" customWidth="1"/>
    <col min="12743" max="12743" width="16" style="35" customWidth="1"/>
    <col min="12744" max="12745" width="11.42578125" style="35"/>
    <col min="12746" max="12746" width="13.140625" style="35" bestFit="1" customWidth="1"/>
    <col min="12747" max="12975" width="11.42578125" style="35"/>
    <col min="12976" max="12976" width="5.28515625" style="35" customWidth="1"/>
    <col min="12977" max="12977" width="26" style="35" customWidth="1"/>
    <col min="12978" max="12978" width="11.140625" style="35" customWidth="1"/>
    <col min="12979" max="12979" width="21.42578125" style="35" customWidth="1"/>
    <col min="12980" max="12980" width="2.140625" style="35" customWidth="1"/>
    <col min="12981" max="12983" width="2" style="35" customWidth="1"/>
    <col min="12984" max="12984" width="2.42578125" style="35" customWidth="1"/>
    <col min="12985" max="12985" width="2" style="35" customWidth="1"/>
    <col min="12986" max="12987" width="2.42578125" style="35" bestFit="1" customWidth="1"/>
    <col min="12988" max="12991" width="2" style="35" customWidth="1"/>
    <col min="12992" max="12992" width="11.7109375" style="35" customWidth="1"/>
    <col min="12993" max="12993" width="12.140625" style="35" customWidth="1"/>
    <col min="12994" max="12994" width="12.85546875" style="35" customWidth="1"/>
    <col min="12995" max="12995" width="14" style="35" customWidth="1"/>
    <col min="12996" max="12996" width="10.5703125" style="35" customWidth="1"/>
    <col min="12997" max="12997" width="12.140625" style="35" customWidth="1"/>
    <col min="12998" max="12998" width="7.42578125" style="35" customWidth="1"/>
    <col min="12999" max="12999" width="16" style="35" customWidth="1"/>
    <col min="13000" max="13001" width="11.42578125" style="35"/>
    <col min="13002" max="13002" width="13.140625" style="35" bestFit="1" customWidth="1"/>
    <col min="13003" max="13231" width="11.42578125" style="35"/>
    <col min="13232" max="13232" width="5.28515625" style="35" customWidth="1"/>
    <col min="13233" max="13233" width="26" style="35" customWidth="1"/>
    <col min="13234" max="13234" width="11.140625" style="35" customWidth="1"/>
    <col min="13235" max="13235" width="21.42578125" style="35" customWidth="1"/>
    <col min="13236" max="13236" width="2.140625" style="35" customWidth="1"/>
    <col min="13237" max="13239" width="2" style="35" customWidth="1"/>
    <col min="13240" max="13240" width="2.42578125" style="35" customWidth="1"/>
    <col min="13241" max="13241" width="2" style="35" customWidth="1"/>
    <col min="13242" max="13243" width="2.42578125" style="35" bestFit="1" customWidth="1"/>
    <col min="13244" max="13247" width="2" style="35" customWidth="1"/>
    <col min="13248" max="13248" width="11.7109375" style="35" customWidth="1"/>
    <col min="13249" max="13249" width="12.140625" style="35" customWidth="1"/>
    <col min="13250" max="13250" width="12.85546875" style="35" customWidth="1"/>
    <col min="13251" max="13251" width="14" style="35" customWidth="1"/>
    <col min="13252" max="13252" width="10.5703125" style="35" customWidth="1"/>
    <col min="13253" max="13253" width="12.140625" style="35" customWidth="1"/>
    <col min="13254" max="13254" width="7.42578125" style="35" customWidth="1"/>
    <col min="13255" max="13255" width="16" style="35" customWidth="1"/>
    <col min="13256" max="13257" width="11.42578125" style="35"/>
    <col min="13258" max="13258" width="13.140625" style="35" bestFit="1" customWidth="1"/>
    <col min="13259" max="13487" width="11.42578125" style="35"/>
    <col min="13488" max="13488" width="5.28515625" style="35" customWidth="1"/>
    <col min="13489" max="13489" width="26" style="35" customWidth="1"/>
    <col min="13490" max="13490" width="11.140625" style="35" customWidth="1"/>
    <col min="13491" max="13491" width="21.42578125" style="35" customWidth="1"/>
    <col min="13492" max="13492" width="2.140625" style="35" customWidth="1"/>
    <col min="13493" max="13495" width="2" style="35" customWidth="1"/>
    <col min="13496" max="13496" width="2.42578125" style="35" customWidth="1"/>
    <col min="13497" max="13497" width="2" style="35" customWidth="1"/>
    <col min="13498" max="13499" width="2.42578125" style="35" bestFit="1" customWidth="1"/>
    <col min="13500" max="13503" width="2" style="35" customWidth="1"/>
    <col min="13504" max="13504" width="11.7109375" style="35" customWidth="1"/>
    <col min="13505" max="13505" width="12.140625" style="35" customWidth="1"/>
    <col min="13506" max="13506" width="12.85546875" style="35" customWidth="1"/>
    <col min="13507" max="13507" width="14" style="35" customWidth="1"/>
    <col min="13508" max="13508" width="10.5703125" style="35" customWidth="1"/>
    <col min="13509" max="13509" width="12.140625" style="35" customWidth="1"/>
    <col min="13510" max="13510" width="7.42578125" style="35" customWidth="1"/>
    <col min="13511" max="13511" width="16" style="35" customWidth="1"/>
    <col min="13512" max="13513" width="11.42578125" style="35"/>
    <col min="13514" max="13514" width="13.140625" style="35" bestFit="1" customWidth="1"/>
    <col min="13515" max="13743" width="11.42578125" style="35"/>
    <col min="13744" max="13744" width="5.28515625" style="35" customWidth="1"/>
    <col min="13745" max="13745" width="26" style="35" customWidth="1"/>
    <col min="13746" max="13746" width="11.140625" style="35" customWidth="1"/>
    <col min="13747" max="13747" width="21.42578125" style="35" customWidth="1"/>
    <col min="13748" max="13748" width="2.140625" style="35" customWidth="1"/>
    <col min="13749" max="13751" width="2" style="35" customWidth="1"/>
    <col min="13752" max="13752" width="2.42578125" style="35" customWidth="1"/>
    <col min="13753" max="13753" width="2" style="35" customWidth="1"/>
    <col min="13754" max="13755" width="2.42578125" style="35" bestFit="1" customWidth="1"/>
    <col min="13756" max="13759" width="2" style="35" customWidth="1"/>
    <col min="13760" max="13760" width="11.7109375" style="35" customWidth="1"/>
    <col min="13761" max="13761" width="12.140625" style="35" customWidth="1"/>
    <col min="13762" max="13762" width="12.85546875" style="35" customWidth="1"/>
    <col min="13763" max="13763" width="14" style="35" customWidth="1"/>
    <col min="13764" max="13764" width="10.5703125" style="35" customWidth="1"/>
    <col min="13765" max="13765" width="12.140625" style="35" customWidth="1"/>
    <col min="13766" max="13766" width="7.42578125" style="35" customWidth="1"/>
    <col min="13767" max="13767" width="16" style="35" customWidth="1"/>
    <col min="13768" max="13769" width="11.42578125" style="35"/>
    <col min="13770" max="13770" width="13.140625" style="35" bestFit="1" customWidth="1"/>
    <col min="13771" max="13999" width="11.42578125" style="35"/>
    <col min="14000" max="14000" width="5.28515625" style="35" customWidth="1"/>
    <col min="14001" max="14001" width="26" style="35" customWidth="1"/>
    <col min="14002" max="14002" width="11.140625" style="35" customWidth="1"/>
    <col min="14003" max="14003" width="21.42578125" style="35" customWidth="1"/>
    <col min="14004" max="14004" width="2.140625" style="35" customWidth="1"/>
    <col min="14005" max="14007" width="2" style="35" customWidth="1"/>
    <col min="14008" max="14008" width="2.42578125" style="35" customWidth="1"/>
    <col min="14009" max="14009" width="2" style="35" customWidth="1"/>
    <col min="14010" max="14011" width="2.42578125" style="35" bestFit="1" customWidth="1"/>
    <col min="14012" max="14015" width="2" style="35" customWidth="1"/>
    <col min="14016" max="14016" width="11.7109375" style="35" customWidth="1"/>
    <col min="14017" max="14017" width="12.140625" style="35" customWidth="1"/>
    <col min="14018" max="14018" width="12.85546875" style="35" customWidth="1"/>
    <col min="14019" max="14019" width="14" style="35" customWidth="1"/>
    <col min="14020" max="14020" width="10.5703125" style="35" customWidth="1"/>
    <col min="14021" max="14021" width="12.140625" style="35" customWidth="1"/>
    <col min="14022" max="14022" width="7.42578125" style="35" customWidth="1"/>
    <col min="14023" max="14023" width="16" style="35" customWidth="1"/>
    <col min="14024" max="14025" width="11.42578125" style="35"/>
    <col min="14026" max="14026" width="13.140625" style="35" bestFit="1" customWidth="1"/>
    <col min="14027" max="14255" width="11.42578125" style="35"/>
    <col min="14256" max="14256" width="5.28515625" style="35" customWidth="1"/>
    <col min="14257" max="14257" width="26" style="35" customWidth="1"/>
    <col min="14258" max="14258" width="11.140625" style="35" customWidth="1"/>
    <col min="14259" max="14259" width="21.42578125" style="35" customWidth="1"/>
    <col min="14260" max="14260" width="2.140625" style="35" customWidth="1"/>
    <col min="14261" max="14263" width="2" style="35" customWidth="1"/>
    <col min="14264" max="14264" width="2.42578125" style="35" customWidth="1"/>
    <col min="14265" max="14265" width="2" style="35" customWidth="1"/>
    <col min="14266" max="14267" width="2.42578125" style="35" bestFit="1" customWidth="1"/>
    <col min="14268" max="14271" width="2" style="35" customWidth="1"/>
    <col min="14272" max="14272" width="11.7109375" style="35" customWidth="1"/>
    <col min="14273" max="14273" width="12.140625" style="35" customWidth="1"/>
    <col min="14274" max="14274" width="12.85546875" style="35" customWidth="1"/>
    <col min="14275" max="14275" width="14" style="35" customWidth="1"/>
    <col min="14276" max="14276" width="10.5703125" style="35" customWidth="1"/>
    <col min="14277" max="14277" width="12.140625" style="35" customWidth="1"/>
    <col min="14278" max="14278" width="7.42578125" style="35" customWidth="1"/>
    <col min="14279" max="14279" width="16" style="35" customWidth="1"/>
    <col min="14280" max="14281" width="11.42578125" style="35"/>
    <col min="14282" max="14282" width="13.140625" style="35" bestFit="1" customWidth="1"/>
    <col min="14283" max="14511" width="11.42578125" style="35"/>
    <col min="14512" max="14512" width="5.28515625" style="35" customWidth="1"/>
    <col min="14513" max="14513" width="26" style="35" customWidth="1"/>
    <col min="14514" max="14514" width="11.140625" style="35" customWidth="1"/>
    <col min="14515" max="14515" width="21.42578125" style="35" customWidth="1"/>
    <col min="14516" max="14516" width="2.140625" style="35" customWidth="1"/>
    <col min="14517" max="14519" width="2" style="35" customWidth="1"/>
    <col min="14520" max="14520" width="2.42578125" style="35" customWidth="1"/>
    <col min="14521" max="14521" width="2" style="35" customWidth="1"/>
    <col min="14522" max="14523" width="2.42578125" style="35" bestFit="1" customWidth="1"/>
    <col min="14524" max="14527" width="2" style="35" customWidth="1"/>
    <col min="14528" max="14528" width="11.7109375" style="35" customWidth="1"/>
    <col min="14529" max="14529" width="12.140625" style="35" customWidth="1"/>
    <col min="14530" max="14530" width="12.85546875" style="35" customWidth="1"/>
    <col min="14531" max="14531" width="14" style="35" customWidth="1"/>
    <col min="14532" max="14532" width="10.5703125" style="35" customWidth="1"/>
    <col min="14533" max="14533" width="12.140625" style="35" customWidth="1"/>
    <col min="14534" max="14534" width="7.42578125" style="35" customWidth="1"/>
    <col min="14535" max="14535" width="16" style="35" customWidth="1"/>
    <col min="14536" max="14537" width="11.42578125" style="35"/>
    <col min="14538" max="14538" width="13.140625" style="35" bestFit="1" customWidth="1"/>
    <col min="14539" max="14767" width="11.42578125" style="35"/>
    <col min="14768" max="14768" width="5.28515625" style="35" customWidth="1"/>
    <col min="14769" max="14769" width="26" style="35" customWidth="1"/>
    <col min="14770" max="14770" width="11.140625" style="35" customWidth="1"/>
    <col min="14771" max="14771" width="21.42578125" style="35" customWidth="1"/>
    <col min="14772" max="14772" width="2.140625" style="35" customWidth="1"/>
    <col min="14773" max="14775" width="2" style="35" customWidth="1"/>
    <col min="14776" max="14776" width="2.42578125" style="35" customWidth="1"/>
    <col min="14777" max="14777" width="2" style="35" customWidth="1"/>
    <col min="14778" max="14779" width="2.42578125" style="35" bestFit="1" customWidth="1"/>
    <col min="14780" max="14783" width="2" style="35" customWidth="1"/>
    <col min="14784" max="14784" width="11.7109375" style="35" customWidth="1"/>
    <col min="14785" max="14785" width="12.140625" style="35" customWidth="1"/>
    <col min="14786" max="14786" width="12.85546875" style="35" customWidth="1"/>
    <col min="14787" max="14787" width="14" style="35" customWidth="1"/>
    <col min="14788" max="14788" width="10.5703125" style="35" customWidth="1"/>
    <col min="14789" max="14789" width="12.140625" style="35" customWidth="1"/>
    <col min="14790" max="14790" width="7.42578125" style="35" customWidth="1"/>
    <col min="14791" max="14791" width="16" style="35" customWidth="1"/>
    <col min="14792" max="14793" width="11.42578125" style="35"/>
    <col min="14794" max="14794" width="13.140625" style="35" bestFit="1" customWidth="1"/>
    <col min="14795" max="15023" width="11.42578125" style="35"/>
    <col min="15024" max="15024" width="5.28515625" style="35" customWidth="1"/>
    <col min="15025" max="15025" width="26" style="35" customWidth="1"/>
    <col min="15026" max="15026" width="11.140625" style="35" customWidth="1"/>
    <col min="15027" max="15027" width="21.42578125" style="35" customWidth="1"/>
    <col min="15028" max="15028" width="2.140625" style="35" customWidth="1"/>
    <col min="15029" max="15031" width="2" style="35" customWidth="1"/>
    <col min="15032" max="15032" width="2.42578125" style="35" customWidth="1"/>
    <col min="15033" max="15033" width="2" style="35" customWidth="1"/>
    <col min="15034" max="15035" width="2.42578125" style="35" bestFit="1" customWidth="1"/>
    <col min="15036" max="15039" width="2" style="35" customWidth="1"/>
    <col min="15040" max="15040" width="11.7109375" style="35" customWidth="1"/>
    <col min="15041" max="15041" width="12.140625" style="35" customWidth="1"/>
    <col min="15042" max="15042" width="12.85546875" style="35" customWidth="1"/>
    <col min="15043" max="15043" width="14" style="35" customWidth="1"/>
    <col min="15044" max="15044" width="10.5703125" style="35" customWidth="1"/>
    <col min="15045" max="15045" width="12.140625" style="35" customWidth="1"/>
    <col min="15046" max="15046" width="7.42578125" style="35" customWidth="1"/>
    <col min="15047" max="15047" width="16" style="35" customWidth="1"/>
    <col min="15048" max="15049" width="11.42578125" style="35"/>
    <col min="15050" max="15050" width="13.140625" style="35" bestFit="1" customWidth="1"/>
    <col min="15051" max="15279" width="11.42578125" style="35"/>
    <col min="15280" max="15280" width="5.28515625" style="35" customWidth="1"/>
    <col min="15281" max="15281" width="26" style="35" customWidth="1"/>
    <col min="15282" max="15282" width="11.140625" style="35" customWidth="1"/>
    <col min="15283" max="15283" width="21.42578125" style="35" customWidth="1"/>
    <col min="15284" max="15284" width="2.140625" style="35" customWidth="1"/>
    <col min="15285" max="15287" width="2" style="35" customWidth="1"/>
    <col min="15288" max="15288" width="2.42578125" style="35" customWidth="1"/>
    <col min="15289" max="15289" width="2" style="35" customWidth="1"/>
    <col min="15290" max="15291" width="2.42578125" style="35" bestFit="1" customWidth="1"/>
    <col min="15292" max="15295" width="2" style="35" customWidth="1"/>
    <col min="15296" max="15296" width="11.7109375" style="35" customWidth="1"/>
    <col min="15297" max="15297" width="12.140625" style="35" customWidth="1"/>
    <col min="15298" max="15298" width="12.85546875" style="35" customWidth="1"/>
    <col min="15299" max="15299" width="14" style="35" customWidth="1"/>
    <col min="15300" max="15300" width="10.5703125" style="35" customWidth="1"/>
    <col min="15301" max="15301" width="12.140625" style="35" customWidth="1"/>
    <col min="15302" max="15302" width="7.42578125" style="35" customWidth="1"/>
    <col min="15303" max="15303" width="16" style="35" customWidth="1"/>
    <col min="15304" max="15305" width="11.42578125" style="35"/>
    <col min="15306" max="15306" width="13.140625" style="35" bestFit="1" customWidth="1"/>
    <col min="15307" max="15535" width="11.42578125" style="35"/>
    <col min="15536" max="15536" width="5.28515625" style="35" customWidth="1"/>
    <col min="15537" max="15537" width="26" style="35" customWidth="1"/>
    <col min="15538" max="15538" width="11.140625" style="35" customWidth="1"/>
    <col min="15539" max="15539" width="21.42578125" style="35" customWidth="1"/>
    <col min="15540" max="15540" width="2.140625" style="35" customWidth="1"/>
    <col min="15541" max="15543" width="2" style="35" customWidth="1"/>
    <col min="15544" max="15544" width="2.42578125" style="35" customWidth="1"/>
    <col min="15545" max="15545" width="2" style="35" customWidth="1"/>
    <col min="15546" max="15547" width="2.42578125" style="35" bestFit="1" customWidth="1"/>
    <col min="15548" max="15551" width="2" style="35" customWidth="1"/>
    <col min="15552" max="15552" width="11.7109375" style="35" customWidth="1"/>
    <col min="15553" max="15553" width="12.140625" style="35" customWidth="1"/>
    <col min="15554" max="15554" width="12.85546875" style="35" customWidth="1"/>
    <col min="15555" max="15555" width="14" style="35" customWidth="1"/>
    <col min="15556" max="15556" width="10.5703125" style="35" customWidth="1"/>
    <col min="15557" max="15557" width="12.140625" style="35" customWidth="1"/>
    <col min="15558" max="15558" width="7.42578125" style="35" customWidth="1"/>
    <col min="15559" max="15559" width="16" style="35" customWidth="1"/>
    <col min="15560" max="15561" width="11.42578125" style="35"/>
    <col min="15562" max="15562" width="13.140625" style="35" bestFit="1" customWidth="1"/>
    <col min="15563" max="15791" width="11.42578125" style="35"/>
    <col min="15792" max="15792" width="5.28515625" style="35" customWidth="1"/>
    <col min="15793" max="15793" width="26" style="35" customWidth="1"/>
    <col min="15794" max="15794" width="11.140625" style="35" customWidth="1"/>
    <col min="15795" max="15795" width="21.42578125" style="35" customWidth="1"/>
    <col min="15796" max="15796" width="2.140625" style="35" customWidth="1"/>
    <col min="15797" max="15799" width="2" style="35" customWidth="1"/>
    <col min="15800" max="15800" width="2.42578125" style="35" customWidth="1"/>
    <col min="15801" max="15801" width="2" style="35" customWidth="1"/>
    <col min="15802" max="15803" width="2.42578125" style="35" bestFit="1" customWidth="1"/>
    <col min="15804" max="15807" width="2" style="35" customWidth="1"/>
    <col min="15808" max="15808" width="11.7109375" style="35" customWidth="1"/>
    <col min="15809" max="15809" width="12.140625" style="35" customWidth="1"/>
    <col min="15810" max="15810" width="12.85546875" style="35" customWidth="1"/>
    <col min="15811" max="15811" width="14" style="35" customWidth="1"/>
    <col min="15812" max="15812" width="10.5703125" style="35" customWidth="1"/>
    <col min="15813" max="15813" width="12.140625" style="35" customWidth="1"/>
    <col min="15814" max="15814" width="7.42578125" style="35" customWidth="1"/>
    <col min="15815" max="15815" width="16" style="35" customWidth="1"/>
    <col min="15816" max="15817" width="11.42578125" style="35"/>
    <col min="15818" max="15818" width="13.140625" style="35" bestFit="1" customWidth="1"/>
    <col min="15819" max="16047" width="11.42578125" style="35"/>
    <col min="16048" max="16048" width="5.28515625" style="35" customWidth="1"/>
    <col min="16049" max="16049" width="26" style="35" customWidth="1"/>
    <col min="16050" max="16050" width="11.140625" style="35" customWidth="1"/>
    <col min="16051" max="16051" width="21.42578125" style="35" customWidth="1"/>
    <col min="16052" max="16052" width="2.140625" style="35" customWidth="1"/>
    <col min="16053" max="16055" width="2" style="35" customWidth="1"/>
    <col min="16056" max="16056" width="2.42578125" style="35" customWidth="1"/>
    <col min="16057" max="16057" width="2" style="35" customWidth="1"/>
    <col min="16058" max="16059" width="2.42578125" style="35" bestFit="1" customWidth="1"/>
    <col min="16060" max="16063" width="2" style="35" customWidth="1"/>
    <col min="16064" max="16064" width="11.7109375" style="35" customWidth="1"/>
    <col min="16065" max="16065" width="12.140625" style="35" customWidth="1"/>
    <col min="16066" max="16066" width="12.85546875" style="35" customWidth="1"/>
    <col min="16067" max="16067" width="14" style="35" customWidth="1"/>
    <col min="16068" max="16068" width="10.5703125" style="35" customWidth="1"/>
    <col min="16069" max="16069" width="12.140625" style="35" customWidth="1"/>
    <col min="16070" max="16070" width="7.42578125" style="35" customWidth="1"/>
    <col min="16071" max="16071" width="16" style="35" customWidth="1"/>
    <col min="16072" max="16073" width="11.42578125" style="35"/>
    <col min="16074" max="16074" width="13.140625" style="35" bestFit="1" customWidth="1"/>
    <col min="16075" max="16384" width="11.42578125" style="35"/>
  </cols>
  <sheetData>
    <row r="1" spans="1:21" s="34" customFormat="1" ht="15.75" x14ac:dyDescent="0.2">
      <c r="A1" s="480" t="s">
        <v>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2"/>
    </row>
    <row r="2" spans="1:21" s="34" customFormat="1" ht="15.75" x14ac:dyDescent="0.2">
      <c r="A2" s="483" t="s">
        <v>187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84"/>
    </row>
    <row r="3" spans="1:21" s="34" customFormat="1" ht="15.75" x14ac:dyDescent="0.2">
      <c r="A3" s="483" t="s">
        <v>348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84"/>
    </row>
    <row r="4" spans="1:21" x14ac:dyDescent="0.2">
      <c r="A4" s="487" t="s">
        <v>161</v>
      </c>
      <c r="B4" s="488"/>
      <c r="C4" s="500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9"/>
      <c r="U4" s="490"/>
    </row>
    <row r="5" spans="1:21" s="36" customFormat="1" ht="18" customHeight="1" x14ac:dyDescent="0.25">
      <c r="A5" s="497" t="s">
        <v>5</v>
      </c>
      <c r="B5" s="498" t="s">
        <v>177</v>
      </c>
      <c r="C5" s="498" t="s">
        <v>127</v>
      </c>
      <c r="D5" s="411" t="s">
        <v>6</v>
      </c>
      <c r="E5" s="498" t="s">
        <v>7</v>
      </c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 t="s">
        <v>128</v>
      </c>
      <c r="R5" s="498" t="s">
        <v>339</v>
      </c>
      <c r="S5" s="499" t="s">
        <v>344</v>
      </c>
      <c r="T5" s="499"/>
      <c r="U5" s="499"/>
    </row>
    <row r="6" spans="1:21" ht="21.75" customHeight="1" x14ac:dyDescent="0.2">
      <c r="A6" s="408"/>
      <c r="B6" s="410"/>
      <c r="C6" s="410"/>
      <c r="D6" s="411"/>
      <c r="E6" s="192" t="s">
        <v>8</v>
      </c>
      <c r="F6" s="192" t="s">
        <v>9</v>
      </c>
      <c r="G6" s="192" t="s">
        <v>10</v>
      </c>
      <c r="H6" s="192" t="s">
        <v>11</v>
      </c>
      <c r="I6" s="192" t="s">
        <v>10</v>
      </c>
      <c r="J6" s="192" t="s">
        <v>12</v>
      </c>
      <c r="K6" s="192" t="s">
        <v>12</v>
      </c>
      <c r="L6" s="192" t="s">
        <v>11</v>
      </c>
      <c r="M6" s="192" t="s">
        <v>13</v>
      </c>
      <c r="N6" s="192" t="s">
        <v>14</v>
      </c>
      <c r="O6" s="192" t="s">
        <v>15</v>
      </c>
      <c r="P6" s="192" t="s">
        <v>16</v>
      </c>
      <c r="Q6" s="409"/>
      <c r="R6" s="409"/>
      <c r="S6" s="190" t="s">
        <v>17</v>
      </c>
      <c r="T6" s="190" t="s">
        <v>18</v>
      </c>
      <c r="U6" s="191" t="s">
        <v>19</v>
      </c>
    </row>
    <row r="7" spans="1:21" ht="27.75" customHeight="1" x14ac:dyDescent="0.2">
      <c r="A7" s="187">
        <v>6</v>
      </c>
      <c r="B7" s="396" t="s">
        <v>162</v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8"/>
    </row>
    <row r="8" spans="1:21" s="43" customFormat="1" ht="63.75" x14ac:dyDescent="0.2">
      <c r="A8" s="225"/>
      <c r="B8" s="61" t="s">
        <v>163</v>
      </c>
      <c r="C8" s="51" t="s">
        <v>21</v>
      </c>
      <c r="D8" s="55" t="s">
        <v>164</v>
      </c>
      <c r="E8" s="51" t="s">
        <v>35</v>
      </c>
      <c r="F8" s="51" t="s">
        <v>35</v>
      </c>
      <c r="G8" s="51" t="s">
        <v>35</v>
      </c>
      <c r="H8" s="51" t="s">
        <v>35</v>
      </c>
      <c r="I8" s="51" t="s">
        <v>35</v>
      </c>
      <c r="J8" s="51" t="s">
        <v>35</v>
      </c>
      <c r="K8" s="51" t="s">
        <v>35</v>
      </c>
      <c r="L8" s="51" t="s">
        <v>35</v>
      </c>
      <c r="M8" s="51" t="s">
        <v>35</v>
      </c>
      <c r="N8" s="51" t="s">
        <v>35</v>
      </c>
      <c r="O8" s="51" t="s">
        <v>35</v>
      </c>
      <c r="P8" s="51" t="s">
        <v>35</v>
      </c>
      <c r="Q8" s="51" t="s">
        <v>22</v>
      </c>
      <c r="R8" s="51" t="s">
        <v>165</v>
      </c>
      <c r="S8" s="51">
        <v>1</v>
      </c>
      <c r="T8" s="140">
        <f>U8/12</f>
        <v>208.33333333333334</v>
      </c>
      <c r="U8" s="140">
        <v>2500</v>
      </c>
    </row>
    <row r="9" spans="1:21" s="43" customFormat="1" ht="102.75" thickBot="1" x14ac:dyDescent="0.25">
      <c r="A9" s="226"/>
      <c r="B9" s="38" t="s">
        <v>166</v>
      </c>
      <c r="C9" s="54" t="s">
        <v>21</v>
      </c>
      <c r="D9" s="189" t="s">
        <v>167</v>
      </c>
      <c r="E9" s="54" t="s">
        <v>35</v>
      </c>
      <c r="F9" s="54" t="s">
        <v>35</v>
      </c>
      <c r="G9" s="54" t="s">
        <v>35</v>
      </c>
      <c r="H9" s="54" t="s">
        <v>35</v>
      </c>
      <c r="I9" s="54" t="s">
        <v>35</v>
      </c>
      <c r="J9" s="54" t="s">
        <v>35</v>
      </c>
      <c r="K9" s="54" t="s">
        <v>35</v>
      </c>
      <c r="L9" s="54" t="s">
        <v>35</v>
      </c>
      <c r="M9" s="54" t="s">
        <v>35</v>
      </c>
      <c r="N9" s="54" t="s">
        <v>35</v>
      </c>
      <c r="O9" s="54" t="s">
        <v>35</v>
      </c>
      <c r="P9" s="54" t="s">
        <v>35</v>
      </c>
      <c r="Q9" s="54" t="s">
        <v>22</v>
      </c>
      <c r="R9" s="139" t="s">
        <v>160</v>
      </c>
      <c r="S9" s="51">
        <v>1</v>
      </c>
      <c r="T9" s="185">
        <f>U9/12</f>
        <v>2.3308333333333331</v>
      </c>
      <c r="U9" s="185">
        <v>27.97</v>
      </c>
    </row>
    <row r="10" spans="1:21" ht="12.75" customHeight="1" thickBot="1" x14ac:dyDescent="0.25">
      <c r="A10" s="382" t="s">
        <v>350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4"/>
      <c r="T10" s="388">
        <f>SUM(U8:U9)</f>
        <v>2527.9699999999998</v>
      </c>
      <c r="U10" s="389"/>
    </row>
    <row r="11" spans="1:21" ht="12.75" customHeight="1" x14ac:dyDescent="0.2">
      <c r="A11" s="195"/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6"/>
      <c r="U11" s="196"/>
    </row>
    <row r="12" spans="1:21" x14ac:dyDescent="0.2">
      <c r="A12" s="477" t="s">
        <v>161</v>
      </c>
      <c r="B12" s="477"/>
      <c r="C12" s="496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7"/>
      <c r="T12" s="478"/>
      <c r="U12" s="478"/>
    </row>
    <row r="13" spans="1:21" x14ac:dyDescent="0.2">
      <c r="A13" s="477" t="s">
        <v>383</v>
      </c>
      <c r="B13" s="477"/>
      <c r="C13" s="496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7"/>
      <c r="S13" s="477"/>
      <c r="T13" s="478"/>
      <c r="U13" s="478"/>
    </row>
    <row r="14" spans="1:21" s="36" customFormat="1" ht="18" customHeight="1" x14ac:dyDescent="0.25">
      <c r="A14" s="408" t="s">
        <v>5</v>
      </c>
      <c r="B14" s="409" t="s">
        <v>177</v>
      </c>
      <c r="C14" s="409" t="s">
        <v>127</v>
      </c>
      <c r="D14" s="411" t="s">
        <v>6</v>
      </c>
      <c r="E14" s="412" t="s">
        <v>7</v>
      </c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4"/>
      <c r="Q14" s="409" t="s">
        <v>128</v>
      </c>
      <c r="R14" s="409" t="s">
        <v>129</v>
      </c>
      <c r="S14" s="415" t="s">
        <v>344</v>
      </c>
      <c r="T14" s="416"/>
      <c r="U14" s="417"/>
    </row>
    <row r="15" spans="1:21" ht="21.75" customHeight="1" x14ac:dyDescent="0.2">
      <c r="A15" s="408"/>
      <c r="B15" s="410"/>
      <c r="C15" s="410"/>
      <c r="D15" s="411"/>
      <c r="E15" s="192" t="s">
        <v>8</v>
      </c>
      <c r="F15" s="192" t="s">
        <v>9</v>
      </c>
      <c r="G15" s="192" t="s">
        <v>10</v>
      </c>
      <c r="H15" s="192" t="s">
        <v>11</v>
      </c>
      <c r="I15" s="192" t="s">
        <v>10</v>
      </c>
      <c r="J15" s="192" t="s">
        <v>12</v>
      </c>
      <c r="K15" s="192" t="s">
        <v>12</v>
      </c>
      <c r="L15" s="192" t="s">
        <v>11</v>
      </c>
      <c r="M15" s="192" t="s">
        <v>13</v>
      </c>
      <c r="N15" s="192" t="s">
        <v>14</v>
      </c>
      <c r="O15" s="192" t="s">
        <v>15</v>
      </c>
      <c r="P15" s="192" t="s">
        <v>16</v>
      </c>
      <c r="Q15" s="409"/>
      <c r="R15" s="409"/>
      <c r="S15" s="190" t="s">
        <v>17</v>
      </c>
      <c r="T15" s="190" t="s">
        <v>18</v>
      </c>
      <c r="U15" s="191" t="s">
        <v>19</v>
      </c>
    </row>
    <row r="16" spans="1:21" ht="27.75" customHeight="1" x14ac:dyDescent="0.2">
      <c r="A16" s="61" t="s">
        <v>384</v>
      </c>
      <c r="B16" s="355" t="s">
        <v>385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7"/>
    </row>
    <row r="17" spans="1:21" ht="66" customHeight="1" x14ac:dyDescent="0.2">
      <c r="A17" s="420"/>
      <c r="B17" s="419" t="s">
        <v>386</v>
      </c>
      <c r="C17" s="418" t="s">
        <v>21</v>
      </c>
      <c r="D17" s="189" t="s">
        <v>352</v>
      </c>
      <c r="E17" s="54" t="s">
        <v>35</v>
      </c>
      <c r="F17" s="54" t="s">
        <v>35</v>
      </c>
      <c r="G17" s="54" t="s">
        <v>35</v>
      </c>
      <c r="H17" s="54" t="s">
        <v>35</v>
      </c>
      <c r="I17" s="54" t="s">
        <v>35</v>
      </c>
      <c r="J17" s="54" t="s">
        <v>35</v>
      </c>
      <c r="K17" s="54" t="s">
        <v>35</v>
      </c>
      <c r="L17" s="54" t="s">
        <v>35</v>
      </c>
      <c r="M17" s="54" t="s">
        <v>35</v>
      </c>
      <c r="N17" s="54" t="s">
        <v>35</v>
      </c>
      <c r="O17" s="54" t="s">
        <v>35</v>
      </c>
      <c r="P17" s="54" t="s">
        <v>35</v>
      </c>
      <c r="Q17" s="54" t="s">
        <v>22</v>
      </c>
      <c r="R17" s="177" t="s">
        <v>387</v>
      </c>
      <c r="S17" s="51">
        <v>1</v>
      </c>
      <c r="T17" s="185">
        <f>U17/12</f>
        <v>15625</v>
      </c>
      <c r="U17" s="185">
        <v>187500</v>
      </c>
    </row>
    <row r="18" spans="1:21" ht="25.5" x14ac:dyDescent="0.2">
      <c r="A18" s="420"/>
      <c r="B18" s="419"/>
      <c r="C18" s="418"/>
      <c r="D18" s="194" t="s">
        <v>365</v>
      </c>
      <c r="E18" s="54" t="s">
        <v>35</v>
      </c>
      <c r="F18" s="54" t="s">
        <v>35</v>
      </c>
      <c r="G18" s="54" t="s">
        <v>35</v>
      </c>
      <c r="H18" s="54" t="s">
        <v>35</v>
      </c>
      <c r="I18" s="54" t="s">
        <v>35</v>
      </c>
      <c r="J18" s="54" t="s">
        <v>35</v>
      </c>
      <c r="K18" s="54" t="s">
        <v>35</v>
      </c>
      <c r="L18" s="54" t="s">
        <v>35</v>
      </c>
      <c r="M18" s="54" t="s">
        <v>35</v>
      </c>
      <c r="N18" s="54" t="s">
        <v>35</v>
      </c>
      <c r="O18" s="54" t="s">
        <v>35</v>
      </c>
      <c r="P18" s="54" t="s">
        <v>35</v>
      </c>
      <c r="Q18" s="54" t="s">
        <v>22</v>
      </c>
      <c r="R18" s="177" t="s">
        <v>387</v>
      </c>
      <c r="S18" s="51">
        <v>1</v>
      </c>
      <c r="T18" s="185">
        <f>U18/12</f>
        <v>68274.06</v>
      </c>
      <c r="U18" s="185">
        <v>819288.72</v>
      </c>
    </row>
    <row r="19" spans="1:21" ht="38.25" x14ac:dyDescent="0.2">
      <c r="A19" s="420"/>
      <c r="B19" s="419"/>
      <c r="C19" s="418"/>
      <c r="D19" s="47" t="s">
        <v>367</v>
      </c>
      <c r="E19" s="54" t="s">
        <v>35</v>
      </c>
      <c r="F19" s="54" t="s">
        <v>35</v>
      </c>
      <c r="G19" s="54" t="s">
        <v>35</v>
      </c>
      <c r="H19" s="54" t="s">
        <v>35</v>
      </c>
      <c r="I19" s="54" t="s">
        <v>35</v>
      </c>
      <c r="J19" s="54" t="s">
        <v>35</v>
      </c>
      <c r="K19" s="54" t="s">
        <v>35</v>
      </c>
      <c r="L19" s="54" t="s">
        <v>35</v>
      </c>
      <c r="M19" s="54" t="s">
        <v>35</v>
      </c>
      <c r="N19" s="54" t="s">
        <v>35</v>
      </c>
      <c r="O19" s="54" t="s">
        <v>35</v>
      </c>
      <c r="P19" s="54" t="s">
        <v>35</v>
      </c>
      <c r="Q19" s="54" t="s">
        <v>22</v>
      </c>
      <c r="R19" s="177" t="s">
        <v>387</v>
      </c>
      <c r="S19" s="51">
        <v>1</v>
      </c>
      <c r="T19" s="185">
        <f>U19/12</f>
        <v>17924.36</v>
      </c>
      <c r="U19" s="185">
        <v>215092.32</v>
      </c>
    </row>
    <row r="20" spans="1:21" ht="26.25" thickBot="1" x14ac:dyDescent="0.25">
      <c r="A20" s="421"/>
      <c r="B20" s="419"/>
      <c r="C20" s="418"/>
      <c r="D20" s="47" t="s">
        <v>375</v>
      </c>
      <c r="E20" s="54" t="s">
        <v>35</v>
      </c>
      <c r="F20" s="54" t="s">
        <v>35</v>
      </c>
      <c r="G20" s="54" t="s">
        <v>35</v>
      </c>
      <c r="H20" s="54" t="s">
        <v>35</v>
      </c>
      <c r="I20" s="54" t="s">
        <v>35</v>
      </c>
      <c r="J20" s="54" t="s">
        <v>35</v>
      </c>
      <c r="K20" s="54" t="s">
        <v>35</v>
      </c>
      <c r="L20" s="54" t="s">
        <v>35</v>
      </c>
      <c r="M20" s="54" t="s">
        <v>35</v>
      </c>
      <c r="N20" s="54" t="s">
        <v>35</v>
      </c>
      <c r="O20" s="54" t="s">
        <v>35</v>
      </c>
      <c r="P20" s="54" t="s">
        <v>35</v>
      </c>
      <c r="Q20" s="54" t="s">
        <v>22</v>
      </c>
      <c r="R20" s="177" t="s">
        <v>387</v>
      </c>
      <c r="S20" s="51">
        <v>1</v>
      </c>
      <c r="T20" s="185">
        <f>U20/12</f>
        <v>75488.44</v>
      </c>
      <c r="U20" s="185">
        <v>905861.28</v>
      </c>
    </row>
    <row r="21" spans="1:21" ht="13.5" thickBot="1" x14ac:dyDescent="0.25">
      <c r="A21" s="382" t="s">
        <v>350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4"/>
      <c r="T21" s="388">
        <f>SUM(U17:U20)</f>
        <v>2127742.3200000003</v>
      </c>
      <c r="U21" s="389"/>
    </row>
    <row r="22" spans="1:21" ht="16.5" thickBot="1" x14ac:dyDescent="0.25">
      <c r="A22" s="390" t="s">
        <v>343</v>
      </c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2"/>
      <c r="T22" s="393">
        <f>T21+T10</f>
        <v>2130270.2900000005</v>
      </c>
      <c r="U22" s="394"/>
    </row>
  </sheetData>
  <mergeCells count="30">
    <mergeCell ref="A22:S22"/>
    <mergeCell ref="T22:U22"/>
    <mergeCell ref="C17:C20"/>
    <mergeCell ref="B17:B20"/>
    <mergeCell ref="A17:A20"/>
    <mergeCell ref="A21:S21"/>
    <mergeCell ref="T21:U21"/>
    <mergeCell ref="A1:U1"/>
    <mergeCell ref="A2:U2"/>
    <mergeCell ref="A3:U3"/>
    <mergeCell ref="A5:A6"/>
    <mergeCell ref="B5:B6"/>
    <mergeCell ref="C5:C6"/>
    <mergeCell ref="D5:D6"/>
    <mergeCell ref="E5:P5"/>
    <mergeCell ref="Q5:Q6"/>
    <mergeCell ref="R5:R6"/>
    <mergeCell ref="B16:U16"/>
    <mergeCell ref="S5:U5"/>
    <mergeCell ref="B7:U7"/>
    <mergeCell ref="A14:A15"/>
    <mergeCell ref="B14:B15"/>
    <mergeCell ref="C14:C15"/>
    <mergeCell ref="D14:D15"/>
    <mergeCell ref="E14:P14"/>
    <mergeCell ref="Q14:Q15"/>
    <mergeCell ref="R14:R15"/>
    <mergeCell ref="S14:U14"/>
    <mergeCell ref="A10:S10"/>
    <mergeCell ref="T10:U10"/>
  </mergeCells>
  <printOptions horizontalCentered="1" verticalCentered="1"/>
  <pageMargins left="0.25" right="0.25" top="0.75" bottom="0.75" header="0.3" footer="0.3"/>
  <pageSetup paperSize="5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85"/>
  <sheetViews>
    <sheetView tabSelected="1" topLeftCell="A4" zoomScale="90" zoomScaleNormal="90" workbookViewId="0">
      <selection activeCell="J14" sqref="J14"/>
    </sheetView>
  </sheetViews>
  <sheetFormatPr baseColWidth="10" defaultColWidth="11.42578125" defaultRowHeight="15" x14ac:dyDescent="0.25"/>
  <cols>
    <col min="1" max="1" width="57" style="64" customWidth="1"/>
    <col min="2" max="2" width="10.140625" style="64" customWidth="1"/>
    <col min="3" max="3" width="16.28515625" style="64" customWidth="1"/>
    <col min="4" max="4" width="18.42578125" style="64" customWidth="1"/>
    <col min="5" max="5" width="11.42578125" style="64"/>
    <col min="6" max="6" width="17.5703125" style="64" customWidth="1"/>
    <col min="7" max="7" width="16.140625" style="64" customWidth="1"/>
    <col min="8" max="10" width="15.42578125" style="64" bestFit="1" customWidth="1"/>
    <col min="11" max="16384" width="11.42578125" style="64"/>
  </cols>
  <sheetData>
    <row r="1" spans="1:21" ht="15.75" customHeight="1" x14ac:dyDescent="0.25">
      <c r="A1" s="480" t="s">
        <v>0</v>
      </c>
      <c r="B1" s="481"/>
      <c r="C1" s="481"/>
      <c r="D1" s="481"/>
      <c r="E1" s="481"/>
      <c r="F1" s="481"/>
      <c r="G1" s="482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</row>
    <row r="2" spans="1:21" ht="15.75" x14ac:dyDescent="0.25">
      <c r="A2" s="483" t="s">
        <v>388</v>
      </c>
      <c r="B2" s="476"/>
      <c r="C2" s="476"/>
      <c r="D2" s="476"/>
      <c r="E2" s="476"/>
      <c r="F2" s="476"/>
      <c r="G2" s="484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</row>
    <row r="3" spans="1:21" ht="15.75" x14ac:dyDescent="0.25">
      <c r="A3" s="504" t="s">
        <v>348</v>
      </c>
      <c r="B3" s="505"/>
      <c r="C3" s="505"/>
      <c r="D3" s="505"/>
      <c r="E3" s="505"/>
      <c r="F3" s="505"/>
      <c r="G3" s="506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</row>
    <row r="4" spans="1:21" s="66" customFormat="1" ht="30" x14ac:dyDescent="0.25">
      <c r="A4" s="501" t="s">
        <v>194</v>
      </c>
      <c r="B4" s="65" t="s">
        <v>195</v>
      </c>
      <c r="C4" s="65" t="s">
        <v>196</v>
      </c>
      <c r="D4" s="65" t="s">
        <v>197</v>
      </c>
      <c r="E4" s="65" t="s">
        <v>198</v>
      </c>
      <c r="F4" s="502" t="s">
        <v>87</v>
      </c>
      <c r="G4" s="503" t="s">
        <v>199</v>
      </c>
    </row>
    <row r="5" spans="1:21" s="66" customFormat="1" x14ac:dyDescent="0.25">
      <c r="A5" s="67"/>
      <c r="B5" s="68"/>
      <c r="C5" s="68"/>
      <c r="D5" s="68"/>
      <c r="E5" s="65"/>
      <c r="F5" s="69"/>
      <c r="G5" s="69">
        <f>G6+G13+G260+G288+G323+G333</f>
        <v>3335072.9254545453</v>
      </c>
    </row>
    <row r="6" spans="1:21" ht="15.75" x14ac:dyDescent="0.25">
      <c r="A6" s="428" t="s">
        <v>200</v>
      </c>
      <c r="B6" s="428"/>
      <c r="C6" s="428"/>
      <c r="D6" s="428"/>
      <c r="E6" s="428" t="s">
        <v>215</v>
      </c>
      <c r="F6" s="428"/>
      <c r="G6" s="70">
        <f>G9</f>
        <v>327.97</v>
      </c>
      <c r="H6" s="237"/>
    </row>
    <row r="7" spans="1:21" ht="27" customHeight="1" x14ac:dyDescent="0.25">
      <c r="A7" s="429" t="s">
        <v>170</v>
      </c>
      <c r="B7" s="429"/>
      <c r="C7" s="429"/>
      <c r="D7" s="429"/>
      <c r="E7" s="429"/>
      <c r="F7" s="429"/>
      <c r="G7" s="429"/>
      <c r="H7" s="237"/>
    </row>
    <row r="8" spans="1:21" x14ac:dyDescent="0.25">
      <c r="A8" s="71" t="s">
        <v>201</v>
      </c>
      <c r="H8" s="237"/>
    </row>
    <row r="9" spans="1:21" ht="31.5" customHeight="1" x14ac:dyDescent="0.25">
      <c r="A9" s="72" t="s">
        <v>157</v>
      </c>
      <c r="B9" s="430" t="s">
        <v>202</v>
      </c>
      <c r="C9" s="431"/>
      <c r="D9" s="73">
        <f>SUM(D10:D11)</f>
        <v>127.97</v>
      </c>
      <c r="E9" s="73">
        <f>SUM(E10:E11)</f>
        <v>4</v>
      </c>
      <c r="F9" s="73">
        <f>SUM(F10:F11)</f>
        <v>327.97</v>
      </c>
      <c r="G9" s="73">
        <f>SUM(G10:G11)</f>
        <v>327.97</v>
      </c>
      <c r="H9" s="237"/>
    </row>
    <row r="10" spans="1:21" x14ac:dyDescent="0.25">
      <c r="A10" s="75" t="s">
        <v>222</v>
      </c>
      <c r="B10" s="75">
        <v>972</v>
      </c>
      <c r="C10" s="75" t="s">
        <v>221</v>
      </c>
      <c r="D10" s="76">
        <v>100</v>
      </c>
      <c r="E10" s="75">
        <v>3</v>
      </c>
      <c r="F10" s="76">
        <f>D10*E10</f>
        <v>300</v>
      </c>
      <c r="G10" s="76">
        <f>F10</f>
        <v>300</v>
      </c>
      <c r="H10" s="237"/>
    </row>
    <row r="11" spans="1:21" x14ac:dyDescent="0.25">
      <c r="A11" s="75" t="s">
        <v>223</v>
      </c>
      <c r="B11" s="75">
        <v>2172</v>
      </c>
      <c r="C11" s="75" t="s">
        <v>221</v>
      </c>
      <c r="D11" s="76">
        <v>27.97</v>
      </c>
      <c r="E11" s="75">
        <v>1</v>
      </c>
      <c r="F11" s="76">
        <f t="shared" ref="F11" si="0">D11*E11</f>
        <v>27.97</v>
      </c>
      <c r="G11" s="76">
        <f t="shared" ref="G11" si="1">F11</f>
        <v>27.97</v>
      </c>
      <c r="H11" s="237"/>
    </row>
    <row r="12" spans="1:21" x14ac:dyDescent="0.25">
      <c r="A12" s="127"/>
    </row>
    <row r="13" spans="1:21" x14ac:dyDescent="0.25">
      <c r="A13" s="432" t="s">
        <v>203</v>
      </c>
      <c r="B13" s="433"/>
      <c r="C13" s="433"/>
      <c r="D13" s="434"/>
      <c r="E13" s="432" t="s">
        <v>204</v>
      </c>
      <c r="F13" s="434"/>
      <c r="G13" s="77">
        <f>G16+G29+G61+G63+G65+G69+G71+G74+G77+G81+G83+G89+G92+G95+G98+G101+G105+G110+G112+G115+G123+G125+G127+G130+G134+G142+G146+G149+G157+G159+G161+G165+G171+G174+G176+G178+G183+G189+G191+G194+G196+G208+G211+G215+G218+G220+G223+G226+G228+G231+G236</f>
        <v>1131488.6454545453</v>
      </c>
      <c r="H13" s="239"/>
      <c r="I13" s="240"/>
      <c r="J13" s="237"/>
      <c r="K13" s="237"/>
    </row>
    <row r="14" spans="1:21" s="79" customFormat="1" ht="48.75" customHeight="1" x14ac:dyDescent="0.25">
      <c r="A14" s="427" t="s">
        <v>124</v>
      </c>
      <c r="B14" s="427"/>
      <c r="C14" s="427"/>
      <c r="D14" s="427"/>
      <c r="E14" s="427"/>
      <c r="F14" s="427"/>
      <c r="G14" s="427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</row>
    <row r="15" spans="1:21" x14ac:dyDescent="0.25">
      <c r="A15" s="64" t="s">
        <v>205</v>
      </c>
      <c r="H15" s="237"/>
      <c r="I15" s="237"/>
      <c r="J15" s="237"/>
      <c r="K15" s="237"/>
    </row>
    <row r="16" spans="1:21" x14ac:dyDescent="0.25">
      <c r="A16" s="80" t="s">
        <v>29</v>
      </c>
      <c r="B16" s="75"/>
      <c r="C16" s="75"/>
      <c r="D16" s="81">
        <f>SUM(D17:D28)</f>
        <v>1731.8679999999999</v>
      </c>
      <c r="E16" s="82">
        <f>SUM(E17:E28)</f>
        <v>19891</v>
      </c>
      <c r="F16" s="81">
        <f>SUM(F17:F28)</f>
        <v>188609.6</v>
      </c>
      <c r="G16" s="81">
        <f>SUM(G17:G28)</f>
        <v>188609.6</v>
      </c>
      <c r="H16" s="237"/>
      <c r="I16" s="237"/>
      <c r="J16" s="237"/>
      <c r="K16" s="237"/>
    </row>
    <row r="17" spans="1:11" x14ac:dyDescent="0.25">
      <c r="A17" s="83" t="s">
        <v>240</v>
      </c>
      <c r="B17" s="75">
        <v>972</v>
      </c>
      <c r="C17" s="75" t="s">
        <v>221</v>
      </c>
      <c r="D17" s="76">
        <v>100</v>
      </c>
      <c r="E17" s="75">
        <v>50</v>
      </c>
      <c r="F17" s="84">
        <f>D17*E17</f>
        <v>5000</v>
      </c>
      <c r="G17" s="85">
        <f>F17</f>
        <v>5000</v>
      </c>
      <c r="H17" s="237"/>
      <c r="I17" s="241"/>
      <c r="J17" s="237"/>
      <c r="K17" s="237"/>
    </row>
    <row r="18" spans="1:11" x14ac:dyDescent="0.25">
      <c r="A18" s="83" t="s">
        <v>251</v>
      </c>
      <c r="B18" s="75">
        <v>974</v>
      </c>
      <c r="C18" s="75" t="s">
        <v>221</v>
      </c>
      <c r="D18" s="76">
        <v>50</v>
      </c>
      <c r="E18" s="75">
        <v>40</v>
      </c>
      <c r="F18" s="84">
        <f t="shared" ref="F18:F28" si="2">D18*E18</f>
        <v>2000</v>
      </c>
      <c r="G18" s="85">
        <f t="shared" ref="G18:G28" si="3">F18</f>
        <v>2000</v>
      </c>
      <c r="H18" s="237"/>
      <c r="I18" s="237"/>
      <c r="J18" s="237"/>
      <c r="K18" s="237"/>
    </row>
    <row r="19" spans="1:11" x14ac:dyDescent="0.25">
      <c r="A19" s="83" t="s">
        <v>252</v>
      </c>
      <c r="B19" s="75">
        <v>356</v>
      </c>
      <c r="C19" s="75" t="s">
        <v>221</v>
      </c>
      <c r="D19" s="141">
        <v>1.25</v>
      </c>
      <c r="E19" s="75">
        <v>2200</v>
      </c>
      <c r="F19" s="84">
        <f t="shared" si="2"/>
        <v>2750</v>
      </c>
      <c r="G19" s="85">
        <f t="shared" si="3"/>
        <v>2750</v>
      </c>
      <c r="H19" s="237"/>
      <c r="I19" s="237"/>
      <c r="J19" s="237"/>
      <c r="K19" s="237"/>
    </row>
    <row r="20" spans="1:11" x14ac:dyDescent="0.25">
      <c r="A20" s="83" t="s">
        <v>253</v>
      </c>
      <c r="B20" s="75">
        <v>1691</v>
      </c>
      <c r="C20" s="75" t="s">
        <v>221</v>
      </c>
      <c r="D20" s="76">
        <v>7.59</v>
      </c>
      <c r="E20" s="75">
        <v>2200</v>
      </c>
      <c r="F20" s="84">
        <f t="shared" si="2"/>
        <v>16698</v>
      </c>
      <c r="G20" s="85">
        <f t="shared" si="3"/>
        <v>16698</v>
      </c>
      <c r="H20" s="237"/>
      <c r="I20" s="237"/>
      <c r="J20" s="237"/>
      <c r="K20" s="237"/>
    </row>
    <row r="21" spans="1:11" x14ac:dyDescent="0.25">
      <c r="A21" s="83" t="s">
        <v>254</v>
      </c>
      <c r="B21" s="75">
        <v>177</v>
      </c>
      <c r="C21" s="75" t="s">
        <v>221</v>
      </c>
      <c r="D21" s="141">
        <v>27.478000000000002</v>
      </c>
      <c r="E21" s="75">
        <v>2200</v>
      </c>
      <c r="F21" s="84">
        <f t="shared" si="2"/>
        <v>60451.600000000006</v>
      </c>
      <c r="G21" s="85">
        <f t="shared" si="3"/>
        <v>60451.600000000006</v>
      </c>
      <c r="H21" s="237"/>
      <c r="I21" s="237"/>
      <c r="J21" s="237"/>
      <c r="K21" s="237"/>
    </row>
    <row r="22" spans="1:11" x14ac:dyDescent="0.25">
      <c r="A22" s="83" t="s">
        <v>255</v>
      </c>
      <c r="B22" s="75">
        <v>180</v>
      </c>
      <c r="C22" s="75" t="s">
        <v>221</v>
      </c>
      <c r="D22" s="76">
        <f>16940/2200</f>
        <v>7.7</v>
      </c>
      <c r="E22" s="75">
        <v>2200</v>
      </c>
      <c r="F22" s="84">
        <f t="shared" si="2"/>
        <v>16940</v>
      </c>
      <c r="G22" s="85">
        <f t="shared" si="3"/>
        <v>16940</v>
      </c>
      <c r="H22" s="237"/>
      <c r="I22" s="237"/>
      <c r="J22" s="237"/>
      <c r="K22" s="237"/>
    </row>
    <row r="23" spans="1:11" x14ac:dyDescent="0.25">
      <c r="A23" s="83" t="s">
        <v>256</v>
      </c>
      <c r="B23" s="75">
        <v>1337</v>
      </c>
      <c r="C23" s="75" t="s">
        <v>221</v>
      </c>
      <c r="D23" s="76">
        <f>6380/2200</f>
        <v>2.9</v>
      </c>
      <c r="E23" s="75">
        <v>2200</v>
      </c>
      <c r="F23" s="84">
        <f t="shared" si="2"/>
        <v>6380</v>
      </c>
      <c r="G23" s="85">
        <f t="shared" si="3"/>
        <v>6380</v>
      </c>
      <c r="H23" s="237"/>
      <c r="I23" s="237"/>
      <c r="J23" s="237"/>
      <c r="K23" s="237"/>
    </row>
    <row r="24" spans="1:11" x14ac:dyDescent="0.25">
      <c r="A24" s="83" t="s">
        <v>257</v>
      </c>
      <c r="B24" s="75">
        <v>2606</v>
      </c>
      <c r="C24" s="75" t="s">
        <v>221</v>
      </c>
      <c r="D24" s="76">
        <f>17160/2200</f>
        <v>7.8</v>
      </c>
      <c r="E24" s="75">
        <v>2200</v>
      </c>
      <c r="F24" s="84">
        <f t="shared" si="2"/>
        <v>17160</v>
      </c>
      <c r="G24" s="85">
        <f t="shared" si="3"/>
        <v>17160</v>
      </c>
      <c r="H24" s="237"/>
      <c r="I24" s="237"/>
      <c r="J24" s="237"/>
      <c r="K24" s="237"/>
    </row>
    <row r="25" spans="1:11" x14ac:dyDescent="0.25">
      <c r="A25" s="83" t="s">
        <v>258</v>
      </c>
      <c r="B25" s="75">
        <v>2779</v>
      </c>
      <c r="C25" s="75" t="s">
        <v>221</v>
      </c>
      <c r="D25" s="76">
        <f>7480/2200</f>
        <v>3.4</v>
      </c>
      <c r="E25" s="75">
        <v>2200</v>
      </c>
      <c r="F25" s="84">
        <f t="shared" si="2"/>
        <v>7480</v>
      </c>
      <c r="G25" s="85">
        <f t="shared" si="3"/>
        <v>7480</v>
      </c>
      <c r="H25" s="237"/>
      <c r="I25" s="237"/>
      <c r="J25" s="237"/>
      <c r="K25" s="237"/>
    </row>
    <row r="26" spans="1:11" x14ac:dyDescent="0.25">
      <c r="A26" s="83" t="s">
        <v>259</v>
      </c>
      <c r="B26" s="75">
        <v>74</v>
      </c>
      <c r="C26" s="75" t="s">
        <v>221</v>
      </c>
      <c r="D26" s="76">
        <f>49500/2200</f>
        <v>22.5</v>
      </c>
      <c r="E26" s="75">
        <v>2200</v>
      </c>
      <c r="F26" s="84">
        <f t="shared" si="2"/>
        <v>49500</v>
      </c>
      <c r="G26" s="85">
        <f t="shared" si="3"/>
        <v>49500</v>
      </c>
      <c r="H26" s="237"/>
      <c r="I26" s="237"/>
      <c r="J26" s="237"/>
      <c r="K26" s="237"/>
    </row>
    <row r="27" spans="1:11" x14ac:dyDescent="0.25">
      <c r="A27" s="83" t="s">
        <v>260</v>
      </c>
      <c r="B27" s="75">
        <v>1384</v>
      </c>
      <c r="C27" s="75" t="s">
        <v>221</v>
      </c>
      <c r="D27" s="76">
        <f>2750/2200</f>
        <v>1.25</v>
      </c>
      <c r="E27" s="75">
        <v>2200</v>
      </c>
      <c r="F27" s="84">
        <f t="shared" si="2"/>
        <v>2750</v>
      </c>
      <c r="G27" s="85">
        <f t="shared" si="3"/>
        <v>2750</v>
      </c>
      <c r="H27" s="237"/>
      <c r="I27" s="237"/>
      <c r="J27" s="237"/>
      <c r="K27" s="237"/>
    </row>
    <row r="28" spans="1:11" x14ac:dyDescent="0.25">
      <c r="A28" s="83" t="s">
        <v>261</v>
      </c>
      <c r="B28" s="75">
        <v>1979</v>
      </c>
      <c r="C28" s="75" t="s">
        <v>221</v>
      </c>
      <c r="D28" s="76">
        <v>1500</v>
      </c>
      <c r="E28" s="75">
        <v>1</v>
      </c>
      <c r="F28" s="84">
        <f t="shared" si="2"/>
        <v>1500</v>
      </c>
      <c r="G28" s="85">
        <f t="shared" si="3"/>
        <v>1500</v>
      </c>
      <c r="H28" s="237"/>
      <c r="I28" s="237"/>
      <c r="J28" s="237"/>
      <c r="K28" s="237"/>
    </row>
    <row r="29" spans="1:11" x14ac:dyDescent="0.25">
      <c r="A29" s="229" t="s">
        <v>30</v>
      </c>
      <c r="B29" s="112"/>
      <c r="C29" s="112"/>
      <c r="D29" s="230">
        <f>SUM(D30:D58)</f>
        <v>21533.84181818182</v>
      </c>
      <c r="E29" s="231">
        <f>SUM(E30:E58)</f>
        <v>775</v>
      </c>
      <c r="F29" s="230">
        <f>SUM(F30:F58)</f>
        <v>373475.06545454549</v>
      </c>
      <c r="G29" s="230">
        <f>SUM(G30:G58)</f>
        <v>373475.06545454549</v>
      </c>
      <c r="H29" s="237"/>
      <c r="I29" s="237"/>
      <c r="J29" s="237"/>
      <c r="K29" s="237"/>
    </row>
    <row r="30" spans="1:11" x14ac:dyDescent="0.25">
      <c r="A30" s="86" t="s">
        <v>224</v>
      </c>
      <c r="B30" s="75">
        <v>1486</v>
      </c>
      <c r="C30" s="75" t="s">
        <v>221</v>
      </c>
      <c r="D30" s="84">
        <v>4021.5</v>
      </c>
      <c r="E30" s="75">
        <v>22</v>
      </c>
      <c r="F30" s="84">
        <f>D30*E30</f>
        <v>88473</v>
      </c>
      <c r="G30" s="84">
        <f>F30</f>
        <v>88473</v>
      </c>
      <c r="H30" s="237"/>
      <c r="I30" s="242"/>
      <c r="J30" s="237"/>
      <c r="K30" s="237"/>
    </row>
    <row r="31" spans="1:11" x14ac:dyDescent="0.25">
      <c r="A31" s="86" t="s">
        <v>234</v>
      </c>
      <c r="B31" s="75">
        <v>254</v>
      </c>
      <c r="C31" s="75" t="s">
        <v>221</v>
      </c>
      <c r="D31" s="84">
        <f>1430/22</f>
        <v>65</v>
      </c>
      <c r="E31" s="75">
        <v>22</v>
      </c>
      <c r="F31" s="84">
        <f t="shared" ref="F31:F58" si="4">D31*E31</f>
        <v>1430</v>
      </c>
      <c r="G31" s="84">
        <f t="shared" ref="G31:G58" si="5">F31</f>
        <v>1430</v>
      </c>
      <c r="H31" s="237"/>
      <c r="I31" s="237"/>
      <c r="J31" s="237"/>
      <c r="K31" s="237"/>
    </row>
    <row r="32" spans="1:11" x14ac:dyDescent="0.25">
      <c r="A32" s="86" t="s">
        <v>225</v>
      </c>
      <c r="B32" s="75">
        <v>2063</v>
      </c>
      <c r="C32" s="75" t="s">
        <v>221</v>
      </c>
      <c r="D32" s="84">
        <f>3146/22</f>
        <v>143</v>
      </c>
      <c r="E32" s="75">
        <v>22</v>
      </c>
      <c r="F32" s="84">
        <f t="shared" si="4"/>
        <v>3146</v>
      </c>
      <c r="G32" s="84">
        <f t="shared" si="5"/>
        <v>3146</v>
      </c>
      <c r="H32" s="237"/>
      <c r="I32" s="237"/>
      <c r="J32" s="237"/>
      <c r="K32" s="237"/>
    </row>
    <row r="33" spans="1:11" x14ac:dyDescent="0.25">
      <c r="A33" s="86" t="s">
        <v>226</v>
      </c>
      <c r="B33" s="75">
        <v>2172</v>
      </c>
      <c r="C33" s="75" t="s">
        <v>221</v>
      </c>
      <c r="D33" s="84">
        <f>167.82/22</f>
        <v>7.628181818181818</v>
      </c>
      <c r="E33" s="75">
        <v>22</v>
      </c>
      <c r="F33" s="84">
        <f t="shared" si="4"/>
        <v>167.82</v>
      </c>
      <c r="G33" s="84">
        <f t="shared" si="5"/>
        <v>167.82</v>
      </c>
      <c r="H33" s="237"/>
      <c r="I33" s="237"/>
      <c r="J33" s="237"/>
      <c r="K33" s="237"/>
    </row>
    <row r="34" spans="1:11" x14ac:dyDescent="0.25">
      <c r="A34" s="86" t="s">
        <v>227</v>
      </c>
      <c r="B34" s="75">
        <v>1373</v>
      </c>
      <c r="C34" s="75" t="s">
        <v>221</v>
      </c>
      <c r="D34" s="84">
        <f>3300/22</f>
        <v>150</v>
      </c>
      <c r="E34" s="75">
        <v>22</v>
      </c>
      <c r="F34" s="84">
        <f t="shared" si="4"/>
        <v>3300</v>
      </c>
      <c r="G34" s="84">
        <f t="shared" si="5"/>
        <v>3300</v>
      </c>
      <c r="H34" s="237"/>
      <c r="I34" s="237"/>
      <c r="J34" s="237"/>
      <c r="K34" s="237"/>
    </row>
    <row r="35" spans="1:11" x14ac:dyDescent="0.25">
      <c r="A35" s="86" t="s">
        <v>228</v>
      </c>
      <c r="B35" s="75">
        <v>552</v>
      </c>
      <c r="C35" s="75" t="s">
        <v>221</v>
      </c>
      <c r="D35" s="84">
        <f>38500/22</f>
        <v>1750</v>
      </c>
      <c r="E35" s="75">
        <v>22</v>
      </c>
      <c r="F35" s="84">
        <f t="shared" si="4"/>
        <v>38500</v>
      </c>
      <c r="G35" s="84">
        <f t="shared" si="5"/>
        <v>38500</v>
      </c>
      <c r="H35" s="237"/>
      <c r="I35" s="237"/>
      <c r="J35" s="237"/>
      <c r="K35" s="237"/>
    </row>
    <row r="36" spans="1:11" x14ac:dyDescent="0.25">
      <c r="A36" s="86" t="s">
        <v>235</v>
      </c>
      <c r="B36" s="75">
        <v>654</v>
      </c>
      <c r="C36" s="75" t="s">
        <v>221</v>
      </c>
      <c r="D36" s="84">
        <f>88000/22</f>
        <v>4000</v>
      </c>
      <c r="E36" s="75">
        <v>22</v>
      </c>
      <c r="F36" s="84">
        <f t="shared" si="4"/>
        <v>88000</v>
      </c>
      <c r="G36" s="84">
        <f t="shared" si="5"/>
        <v>88000</v>
      </c>
      <c r="H36" s="237"/>
      <c r="I36" s="237"/>
      <c r="J36" s="237"/>
      <c r="K36" s="237"/>
    </row>
    <row r="37" spans="1:11" x14ac:dyDescent="0.25">
      <c r="A37" s="86" t="s">
        <v>229</v>
      </c>
      <c r="B37" s="75">
        <v>709</v>
      </c>
      <c r="C37" s="75" t="s">
        <v>221</v>
      </c>
      <c r="D37" s="84">
        <f>7040/22</f>
        <v>320</v>
      </c>
      <c r="E37" s="75">
        <v>22</v>
      </c>
      <c r="F37" s="84">
        <f t="shared" si="4"/>
        <v>7040</v>
      </c>
      <c r="G37" s="84">
        <f t="shared" si="5"/>
        <v>7040</v>
      </c>
      <c r="H37" s="237"/>
      <c r="I37" s="237"/>
      <c r="J37" s="237"/>
      <c r="K37" s="237"/>
    </row>
    <row r="38" spans="1:11" x14ac:dyDescent="0.25">
      <c r="A38" s="86" t="s">
        <v>236</v>
      </c>
      <c r="B38" s="75">
        <v>706</v>
      </c>
      <c r="C38" s="75" t="s">
        <v>221</v>
      </c>
      <c r="D38" s="84">
        <f>1760/22</f>
        <v>80</v>
      </c>
      <c r="E38" s="75">
        <v>22</v>
      </c>
      <c r="F38" s="84">
        <f t="shared" si="4"/>
        <v>1760</v>
      </c>
      <c r="G38" s="84">
        <f t="shared" si="5"/>
        <v>1760</v>
      </c>
      <c r="H38" s="237"/>
      <c r="I38" s="237"/>
      <c r="J38" s="237"/>
      <c r="K38" s="237"/>
    </row>
    <row r="39" spans="1:11" x14ac:dyDescent="0.25">
      <c r="A39" s="86" t="s">
        <v>237</v>
      </c>
      <c r="B39" s="75">
        <v>863</v>
      </c>
      <c r="C39" s="75" t="s">
        <v>221</v>
      </c>
      <c r="D39" s="84">
        <f>7520/22</f>
        <v>341.81818181818181</v>
      </c>
      <c r="E39" s="75">
        <v>22</v>
      </c>
      <c r="F39" s="84">
        <f t="shared" si="4"/>
        <v>7520</v>
      </c>
      <c r="G39" s="84">
        <f t="shared" si="5"/>
        <v>7520</v>
      </c>
      <c r="H39" s="237"/>
      <c r="I39" s="237"/>
      <c r="J39" s="237"/>
      <c r="K39" s="237"/>
    </row>
    <row r="40" spans="1:11" x14ac:dyDescent="0.25">
      <c r="A40" s="86" t="s">
        <v>238</v>
      </c>
      <c r="B40" s="75">
        <v>862</v>
      </c>
      <c r="C40" s="75" t="s">
        <v>221</v>
      </c>
      <c r="D40" s="84">
        <f>7818/22</f>
        <v>355.36363636363637</v>
      </c>
      <c r="E40" s="75">
        <v>22</v>
      </c>
      <c r="F40" s="84">
        <f t="shared" si="4"/>
        <v>7818</v>
      </c>
      <c r="G40" s="84">
        <f t="shared" si="5"/>
        <v>7818</v>
      </c>
      <c r="H40" s="237"/>
      <c r="I40" s="237"/>
      <c r="J40" s="237"/>
      <c r="K40" s="237"/>
    </row>
    <row r="41" spans="1:11" x14ac:dyDescent="0.25">
      <c r="A41" s="86" t="s">
        <v>226</v>
      </c>
      <c r="B41" s="75">
        <v>2172</v>
      </c>
      <c r="C41" s="75" t="s">
        <v>221</v>
      </c>
      <c r="D41" s="84">
        <f>83.91/22</f>
        <v>3.814090909090909</v>
      </c>
      <c r="E41" s="75">
        <v>22</v>
      </c>
      <c r="F41" s="84">
        <f t="shared" si="4"/>
        <v>83.91</v>
      </c>
      <c r="G41" s="84">
        <f t="shared" si="5"/>
        <v>83.91</v>
      </c>
      <c r="H41" s="237"/>
      <c r="I41" s="237"/>
      <c r="J41" s="237"/>
      <c r="K41" s="237"/>
    </row>
    <row r="42" spans="1:11" x14ac:dyDescent="0.25">
      <c r="A42" s="86" t="s">
        <v>239</v>
      </c>
      <c r="B42" s="75">
        <v>2171</v>
      </c>
      <c r="C42" s="75" t="s">
        <v>221</v>
      </c>
      <c r="D42" s="84">
        <f>98.49/22</f>
        <v>4.4768181818181816</v>
      </c>
      <c r="E42" s="75">
        <v>22</v>
      </c>
      <c r="F42" s="84">
        <f t="shared" si="4"/>
        <v>98.49</v>
      </c>
      <c r="G42" s="84">
        <f t="shared" si="5"/>
        <v>98.49</v>
      </c>
      <c r="H42" s="237"/>
      <c r="I42" s="237"/>
      <c r="J42" s="237"/>
      <c r="K42" s="237"/>
    </row>
    <row r="43" spans="1:11" x14ac:dyDescent="0.25">
      <c r="A43" s="86" t="s">
        <v>230</v>
      </c>
      <c r="B43" s="75">
        <v>1144</v>
      </c>
      <c r="C43" s="75" t="s">
        <v>221</v>
      </c>
      <c r="D43" s="84">
        <f>760/22</f>
        <v>34.545454545454547</v>
      </c>
      <c r="E43" s="75">
        <v>1</v>
      </c>
      <c r="F43" s="84">
        <f t="shared" si="4"/>
        <v>34.545454545454547</v>
      </c>
      <c r="G43" s="84">
        <f t="shared" si="5"/>
        <v>34.545454545454547</v>
      </c>
      <c r="H43" s="237"/>
      <c r="I43" s="237"/>
      <c r="J43" s="237"/>
      <c r="K43" s="237"/>
    </row>
    <row r="44" spans="1:11" x14ac:dyDescent="0.25">
      <c r="A44" s="86" t="s">
        <v>231</v>
      </c>
      <c r="B44" s="75">
        <v>144</v>
      </c>
      <c r="C44" s="75" t="s">
        <v>221</v>
      </c>
      <c r="D44" s="84">
        <f>798/22</f>
        <v>36.272727272727273</v>
      </c>
      <c r="E44" s="75">
        <v>1</v>
      </c>
      <c r="F44" s="84">
        <f t="shared" si="4"/>
        <v>36.272727272727273</v>
      </c>
      <c r="G44" s="84">
        <f t="shared" si="5"/>
        <v>36.272727272727273</v>
      </c>
      <c r="H44" s="237"/>
      <c r="I44" s="237"/>
      <c r="J44" s="237"/>
      <c r="K44" s="237"/>
    </row>
    <row r="45" spans="1:11" x14ac:dyDescent="0.25">
      <c r="A45" s="86" t="s">
        <v>232</v>
      </c>
      <c r="B45" s="75">
        <v>146</v>
      </c>
      <c r="C45" s="75" t="s">
        <v>221</v>
      </c>
      <c r="D45" s="84">
        <v>1355</v>
      </c>
      <c r="E45" s="75">
        <v>1</v>
      </c>
      <c r="F45" s="84">
        <f t="shared" si="4"/>
        <v>1355</v>
      </c>
      <c r="G45" s="84">
        <f t="shared" si="5"/>
        <v>1355</v>
      </c>
      <c r="H45" s="237"/>
      <c r="I45" s="237"/>
      <c r="J45" s="237"/>
      <c r="K45" s="237"/>
    </row>
    <row r="46" spans="1:11" x14ac:dyDescent="0.25">
      <c r="A46" s="86" t="s">
        <v>233</v>
      </c>
      <c r="B46" s="75">
        <v>1262</v>
      </c>
      <c r="C46" s="75" t="s">
        <v>221</v>
      </c>
      <c r="D46" s="84">
        <f>365/22</f>
        <v>16.59090909090909</v>
      </c>
      <c r="E46" s="75">
        <v>22</v>
      </c>
      <c r="F46" s="84">
        <f t="shared" si="4"/>
        <v>365</v>
      </c>
      <c r="G46" s="84">
        <f t="shared" si="5"/>
        <v>365</v>
      </c>
      <c r="H46" s="237"/>
      <c r="I46" s="237"/>
      <c r="J46" s="237"/>
      <c r="K46" s="237"/>
    </row>
    <row r="47" spans="1:11" x14ac:dyDescent="0.25">
      <c r="A47" s="86" t="s">
        <v>240</v>
      </c>
      <c r="B47" s="112">
        <v>972</v>
      </c>
      <c r="C47" s="112" t="s">
        <v>221</v>
      </c>
      <c r="D47" s="213">
        <v>100</v>
      </c>
      <c r="E47" s="112">
        <v>240</v>
      </c>
      <c r="F47" s="213">
        <f t="shared" si="4"/>
        <v>24000</v>
      </c>
      <c r="G47" s="213">
        <f t="shared" si="5"/>
        <v>24000</v>
      </c>
      <c r="H47" s="237"/>
      <c r="I47" s="237"/>
      <c r="J47" s="237"/>
      <c r="K47" s="237"/>
    </row>
    <row r="48" spans="1:11" x14ac:dyDescent="0.25">
      <c r="A48" s="86" t="s">
        <v>241</v>
      </c>
      <c r="B48" s="75">
        <v>272</v>
      </c>
      <c r="C48" s="75" t="s">
        <v>221</v>
      </c>
      <c r="D48" s="84">
        <f>60830/22</f>
        <v>2765</v>
      </c>
      <c r="E48" s="75">
        <v>22</v>
      </c>
      <c r="F48" s="84">
        <f t="shared" si="4"/>
        <v>60830</v>
      </c>
      <c r="G48" s="84">
        <f t="shared" si="5"/>
        <v>60830</v>
      </c>
      <c r="H48" s="237"/>
      <c r="I48" s="237"/>
      <c r="J48" s="237"/>
      <c r="K48" s="237"/>
    </row>
    <row r="49" spans="1:11" x14ac:dyDescent="0.25">
      <c r="A49" s="75" t="s">
        <v>242</v>
      </c>
      <c r="B49" s="75">
        <v>1818</v>
      </c>
      <c r="C49" s="75" t="s">
        <v>221</v>
      </c>
      <c r="D49" s="84">
        <f>484/22</f>
        <v>22</v>
      </c>
      <c r="E49" s="75">
        <v>22</v>
      </c>
      <c r="F49" s="84">
        <f t="shared" si="4"/>
        <v>484</v>
      </c>
      <c r="G49" s="84">
        <f t="shared" si="5"/>
        <v>484</v>
      </c>
      <c r="H49" s="237"/>
      <c r="I49" s="237"/>
      <c r="J49" s="237"/>
      <c r="K49" s="237"/>
    </row>
    <row r="50" spans="1:11" x14ac:dyDescent="0.25">
      <c r="A50" s="75" t="s">
        <v>243</v>
      </c>
      <c r="B50" s="75">
        <v>1905</v>
      </c>
      <c r="C50" s="75" t="s">
        <v>221</v>
      </c>
      <c r="D50" s="84">
        <f>2860/22</f>
        <v>130</v>
      </c>
      <c r="E50" s="75">
        <v>22</v>
      </c>
      <c r="F50" s="84">
        <f t="shared" si="4"/>
        <v>2860</v>
      </c>
      <c r="G50" s="84">
        <f t="shared" si="5"/>
        <v>2860</v>
      </c>
      <c r="H50" s="237"/>
      <c r="I50" s="237"/>
      <c r="J50" s="237"/>
      <c r="K50" s="237"/>
    </row>
    <row r="51" spans="1:11" x14ac:dyDescent="0.25">
      <c r="A51" s="75" t="s">
        <v>247</v>
      </c>
      <c r="B51" s="75">
        <v>398</v>
      </c>
      <c r="C51" s="75" t="s">
        <v>221</v>
      </c>
      <c r="D51" s="84">
        <f>1639/22</f>
        <v>74.5</v>
      </c>
      <c r="E51" s="75">
        <v>22</v>
      </c>
      <c r="F51" s="84">
        <f t="shared" si="4"/>
        <v>1639</v>
      </c>
      <c r="G51" s="84">
        <f t="shared" si="5"/>
        <v>1639</v>
      </c>
      <c r="H51" s="237"/>
      <c r="I51" s="237"/>
      <c r="J51" s="237"/>
      <c r="K51" s="237"/>
    </row>
    <row r="52" spans="1:11" x14ac:dyDescent="0.25">
      <c r="A52" s="75" t="s">
        <v>244</v>
      </c>
      <c r="B52" s="75">
        <v>1759</v>
      </c>
      <c r="C52" s="75" t="s">
        <v>221</v>
      </c>
      <c r="D52" s="84">
        <f>212.3/22</f>
        <v>9.65</v>
      </c>
      <c r="E52" s="75">
        <v>22</v>
      </c>
      <c r="F52" s="84">
        <f t="shared" si="4"/>
        <v>212.3</v>
      </c>
      <c r="G52" s="84">
        <f t="shared" si="5"/>
        <v>212.3</v>
      </c>
      <c r="H52" s="237"/>
      <c r="I52" s="237"/>
      <c r="J52" s="237"/>
      <c r="K52" s="237"/>
    </row>
    <row r="53" spans="1:11" x14ac:dyDescent="0.25">
      <c r="A53" s="75" t="s">
        <v>245</v>
      </c>
      <c r="B53" s="75">
        <v>724</v>
      </c>
      <c r="C53" s="75" t="s">
        <v>221</v>
      </c>
      <c r="D53" s="84">
        <f>7458/22</f>
        <v>339</v>
      </c>
      <c r="E53" s="75">
        <v>22</v>
      </c>
      <c r="F53" s="84">
        <f t="shared" si="4"/>
        <v>7458</v>
      </c>
      <c r="G53" s="84">
        <f t="shared" si="5"/>
        <v>7458</v>
      </c>
      <c r="H53" s="237"/>
      <c r="I53" s="237"/>
      <c r="J53" s="237"/>
      <c r="K53" s="237"/>
    </row>
    <row r="54" spans="1:11" x14ac:dyDescent="0.25">
      <c r="A54" s="75" t="s">
        <v>249</v>
      </c>
      <c r="B54" s="75">
        <v>2156</v>
      </c>
      <c r="C54" s="75" t="s">
        <v>221</v>
      </c>
      <c r="D54" s="84">
        <f>3641/22</f>
        <v>165.5</v>
      </c>
      <c r="E54" s="75">
        <v>22</v>
      </c>
      <c r="F54" s="84">
        <f t="shared" si="4"/>
        <v>3641</v>
      </c>
      <c r="G54" s="84">
        <f t="shared" si="5"/>
        <v>3641</v>
      </c>
      <c r="H54" s="237"/>
      <c r="I54" s="237"/>
      <c r="J54" s="237"/>
      <c r="K54" s="237"/>
    </row>
    <row r="55" spans="1:11" x14ac:dyDescent="0.25">
      <c r="A55" s="75" t="s">
        <v>250</v>
      </c>
      <c r="B55" s="75">
        <v>1855</v>
      </c>
      <c r="C55" s="75" t="s">
        <v>221</v>
      </c>
      <c r="D55" s="84">
        <f>495/22</f>
        <v>22.5</v>
      </c>
      <c r="E55" s="75">
        <v>22</v>
      </c>
      <c r="F55" s="84">
        <f t="shared" si="4"/>
        <v>495</v>
      </c>
      <c r="G55" s="84">
        <f t="shared" si="5"/>
        <v>495</v>
      </c>
      <c r="H55" s="237"/>
      <c r="I55" s="237"/>
      <c r="J55" s="237"/>
      <c r="K55" s="237"/>
    </row>
    <row r="56" spans="1:11" x14ac:dyDescent="0.25">
      <c r="A56" s="75" t="s">
        <v>236</v>
      </c>
      <c r="B56" s="75">
        <v>706</v>
      </c>
      <c r="C56" s="75" t="s">
        <v>221</v>
      </c>
      <c r="D56" s="84">
        <f>1760/22</f>
        <v>80</v>
      </c>
      <c r="E56" s="75">
        <v>22</v>
      </c>
      <c r="F56" s="84">
        <f t="shared" si="4"/>
        <v>1760</v>
      </c>
      <c r="G56" s="84">
        <f t="shared" si="5"/>
        <v>1760</v>
      </c>
      <c r="H56" s="237"/>
      <c r="I56" s="237"/>
      <c r="J56" s="237"/>
      <c r="K56" s="237"/>
    </row>
    <row r="57" spans="1:11" x14ac:dyDescent="0.25">
      <c r="A57" s="75" t="s">
        <v>246</v>
      </c>
      <c r="B57" s="75">
        <v>1855</v>
      </c>
      <c r="C57" s="75" t="s">
        <v>221</v>
      </c>
      <c r="D57" s="84">
        <f>495/22</f>
        <v>22.5</v>
      </c>
      <c r="E57" s="75">
        <v>22</v>
      </c>
      <c r="F57" s="84">
        <f t="shared" si="4"/>
        <v>495</v>
      </c>
      <c r="G57" s="84">
        <f t="shared" si="5"/>
        <v>495</v>
      </c>
      <c r="H57" s="237"/>
      <c r="I57" s="237"/>
      <c r="J57" s="237"/>
      <c r="K57" s="237"/>
    </row>
    <row r="58" spans="1:11" x14ac:dyDescent="0.25">
      <c r="A58" s="112" t="s">
        <v>248</v>
      </c>
      <c r="B58" s="112">
        <v>2080</v>
      </c>
      <c r="C58" s="112" t="s">
        <v>221</v>
      </c>
      <c r="D58" s="213">
        <f>112600/22</f>
        <v>5118.181818181818</v>
      </c>
      <c r="E58" s="112">
        <v>4</v>
      </c>
      <c r="F58" s="213">
        <f t="shared" si="4"/>
        <v>20472.727272727272</v>
      </c>
      <c r="G58" s="213">
        <f t="shared" si="5"/>
        <v>20472.727272727272</v>
      </c>
      <c r="H58" s="237"/>
      <c r="I58" s="240"/>
      <c r="J58" s="243"/>
      <c r="K58" s="237"/>
    </row>
    <row r="59" spans="1:11" ht="35.25" customHeight="1" x14ac:dyDescent="0.25">
      <c r="A59" s="425" t="s">
        <v>389</v>
      </c>
      <c r="B59" s="426"/>
      <c r="C59" s="426"/>
      <c r="D59" s="426"/>
      <c r="E59" s="426"/>
      <c r="F59" s="426"/>
      <c r="G59" s="426"/>
      <c r="H59" s="237"/>
      <c r="I59" s="237"/>
      <c r="J59" s="237"/>
      <c r="K59" s="237"/>
    </row>
    <row r="60" spans="1:11" x14ac:dyDescent="0.25">
      <c r="A60" s="64" t="s">
        <v>205</v>
      </c>
      <c r="H60" s="237"/>
      <c r="I60" s="237"/>
      <c r="J60" s="237"/>
      <c r="K60" s="237"/>
    </row>
    <row r="61" spans="1:11" ht="30" x14ac:dyDescent="0.25">
      <c r="A61" s="87" t="s">
        <v>32</v>
      </c>
      <c r="D61" s="81">
        <f>SUM(D62:D62)</f>
        <v>100</v>
      </c>
      <c r="E61" s="82">
        <f>SUM(E62:E62)</f>
        <v>16</v>
      </c>
      <c r="F61" s="81">
        <f>SUM(F62:F62)</f>
        <v>1600</v>
      </c>
      <c r="G61" s="81">
        <f>SUM(G62:G62)</f>
        <v>1600</v>
      </c>
      <c r="H61" s="237"/>
      <c r="I61" s="237"/>
      <c r="J61" s="237"/>
      <c r="K61" s="237"/>
    </row>
    <row r="62" spans="1:11" x14ac:dyDescent="0.25">
      <c r="A62" s="88" t="s">
        <v>222</v>
      </c>
      <c r="B62" s="75">
        <v>972</v>
      </c>
      <c r="C62" s="75" t="s">
        <v>221</v>
      </c>
      <c r="D62" s="84">
        <v>100</v>
      </c>
      <c r="E62" s="75">
        <v>16</v>
      </c>
      <c r="F62" s="84">
        <f>D62*E62</f>
        <v>1600</v>
      </c>
      <c r="G62" s="84">
        <f>F62</f>
        <v>1600</v>
      </c>
      <c r="H62" s="237"/>
      <c r="I62" s="237"/>
      <c r="J62" s="237"/>
      <c r="K62" s="237"/>
    </row>
    <row r="63" spans="1:11" x14ac:dyDescent="0.25">
      <c r="A63" s="89" t="s">
        <v>33</v>
      </c>
      <c r="B63" s="75"/>
      <c r="C63" s="75"/>
      <c r="D63" s="81">
        <f>SUM(D64:D64)</f>
        <v>100</v>
      </c>
      <c r="E63" s="82">
        <f>SUM(E64:E64)</f>
        <v>12</v>
      </c>
      <c r="F63" s="81">
        <f>SUM(F64:F64)</f>
        <v>1200</v>
      </c>
      <c r="G63" s="81">
        <f>SUM(G64:G64)</f>
        <v>1200</v>
      </c>
      <c r="H63" s="237"/>
      <c r="I63" s="237"/>
      <c r="J63" s="237"/>
      <c r="K63" s="237"/>
    </row>
    <row r="64" spans="1:11" x14ac:dyDescent="0.25">
      <c r="A64" s="90" t="s">
        <v>222</v>
      </c>
      <c r="B64" s="75">
        <v>972</v>
      </c>
      <c r="C64" s="75" t="s">
        <v>221</v>
      </c>
      <c r="D64" s="84">
        <v>100</v>
      </c>
      <c r="E64" s="75">
        <v>12</v>
      </c>
      <c r="F64" s="84">
        <f>D64*E64</f>
        <v>1200</v>
      </c>
      <c r="G64" s="84">
        <f>F64</f>
        <v>1200</v>
      </c>
      <c r="H64" s="237"/>
      <c r="I64" s="237"/>
      <c r="J64" s="237"/>
      <c r="K64" s="237"/>
    </row>
    <row r="65" spans="1:11" ht="30" x14ac:dyDescent="0.25">
      <c r="A65" s="80" t="s">
        <v>34</v>
      </c>
      <c r="B65" s="75"/>
      <c r="C65" s="75"/>
      <c r="D65" s="81">
        <f>SUM(D66:D68)</f>
        <v>160.80000000000001</v>
      </c>
      <c r="E65" s="82">
        <f>SUM(E66:E68)</f>
        <v>22</v>
      </c>
      <c r="F65" s="81">
        <f>SUM(F66:F68)</f>
        <v>2060.8000000000002</v>
      </c>
      <c r="G65" s="81">
        <f>SUM(G66:G68)</f>
        <v>2060.8000000000002</v>
      </c>
      <c r="H65" s="237"/>
      <c r="I65" s="237"/>
      <c r="J65" s="237"/>
      <c r="K65" s="237"/>
    </row>
    <row r="66" spans="1:11" x14ac:dyDescent="0.25">
      <c r="A66" s="83" t="s">
        <v>222</v>
      </c>
      <c r="B66" s="75">
        <v>972</v>
      </c>
      <c r="C66" s="75" t="s">
        <v>221</v>
      </c>
      <c r="D66" s="84">
        <v>100</v>
      </c>
      <c r="E66" s="75">
        <v>20</v>
      </c>
      <c r="F66" s="84">
        <f>D66*E66</f>
        <v>2000</v>
      </c>
      <c r="G66" s="84">
        <f>F66</f>
        <v>2000</v>
      </c>
      <c r="H66" s="237"/>
      <c r="I66" s="237"/>
      <c r="J66" s="237"/>
      <c r="K66" s="237"/>
    </row>
    <row r="67" spans="1:11" x14ac:dyDescent="0.25">
      <c r="A67" s="83" t="s">
        <v>226</v>
      </c>
      <c r="B67" s="75">
        <v>2172</v>
      </c>
      <c r="C67" s="75" t="s">
        <v>221</v>
      </c>
      <c r="D67" s="84">
        <v>27.97</v>
      </c>
      <c r="E67" s="75">
        <v>1</v>
      </c>
      <c r="F67" s="84">
        <f>D67*E67</f>
        <v>27.97</v>
      </c>
      <c r="G67" s="84">
        <f t="shared" ref="G67:G68" si="6">F67</f>
        <v>27.97</v>
      </c>
      <c r="H67" s="237"/>
      <c r="I67" s="237"/>
      <c r="J67" s="237"/>
      <c r="K67" s="237"/>
    </row>
    <row r="68" spans="1:11" x14ac:dyDescent="0.25">
      <c r="A68" s="83" t="s">
        <v>262</v>
      </c>
      <c r="B68" s="75">
        <v>2171</v>
      </c>
      <c r="C68" s="75" t="s">
        <v>221</v>
      </c>
      <c r="D68" s="84">
        <v>32.83</v>
      </c>
      <c r="E68" s="75">
        <v>1</v>
      </c>
      <c r="F68" s="84">
        <f>D68*E68</f>
        <v>32.83</v>
      </c>
      <c r="G68" s="84">
        <f t="shared" si="6"/>
        <v>32.83</v>
      </c>
      <c r="H68" s="237"/>
      <c r="I68" s="237"/>
      <c r="J68" s="237"/>
      <c r="K68" s="237"/>
    </row>
    <row r="69" spans="1:11" ht="30" x14ac:dyDescent="0.25">
      <c r="A69" s="91" t="s">
        <v>38</v>
      </c>
      <c r="B69" s="75"/>
      <c r="C69" s="75"/>
      <c r="D69" s="81">
        <f>SUM(D70:D70)</f>
        <v>100</v>
      </c>
      <c r="E69" s="82">
        <f>SUM(E70:E70)</f>
        <v>24</v>
      </c>
      <c r="F69" s="81">
        <f>SUM(F70:F70)</f>
        <v>2400</v>
      </c>
      <c r="G69" s="81">
        <f>SUM(G70:G70)</f>
        <v>2400</v>
      </c>
      <c r="H69" s="237"/>
      <c r="I69" s="237"/>
      <c r="J69" s="237"/>
      <c r="K69" s="237"/>
    </row>
    <row r="70" spans="1:11" x14ac:dyDescent="0.25">
      <c r="A70" s="92" t="s">
        <v>222</v>
      </c>
      <c r="B70" s="75">
        <v>972</v>
      </c>
      <c r="C70" s="75" t="s">
        <v>221</v>
      </c>
      <c r="D70" s="84">
        <v>100</v>
      </c>
      <c r="E70" s="75">
        <v>24</v>
      </c>
      <c r="F70" s="84">
        <f>D70*E70</f>
        <v>2400</v>
      </c>
      <c r="G70" s="84">
        <f>F70</f>
        <v>2400</v>
      </c>
      <c r="H70" s="237"/>
      <c r="I70" s="237"/>
      <c r="J70" s="237"/>
      <c r="K70" s="237"/>
    </row>
    <row r="71" spans="1:11" ht="60" x14ac:dyDescent="0.25">
      <c r="A71" s="91" t="s">
        <v>39</v>
      </c>
      <c r="B71" s="75"/>
      <c r="C71" s="75"/>
      <c r="D71" s="81">
        <f>SUM(D72:D73)</f>
        <v>127.97</v>
      </c>
      <c r="E71" s="82">
        <f>SUM(E72:E73)</f>
        <v>12</v>
      </c>
      <c r="F71" s="81">
        <f>SUM(F72:F73)</f>
        <v>1127.97</v>
      </c>
      <c r="G71" s="94">
        <f>SUM(G72:G73)</f>
        <v>1127.97</v>
      </c>
      <c r="H71" s="237"/>
      <c r="I71" s="237"/>
      <c r="J71" s="237"/>
      <c r="K71" s="237"/>
    </row>
    <row r="72" spans="1:11" x14ac:dyDescent="0.25">
      <c r="A72" s="92" t="s">
        <v>222</v>
      </c>
      <c r="B72" s="75">
        <v>972</v>
      </c>
      <c r="C72" s="75" t="s">
        <v>221</v>
      </c>
      <c r="D72" s="84">
        <v>100</v>
      </c>
      <c r="E72" s="75">
        <v>11</v>
      </c>
      <c r="F72" s="84">
        <f>D72*E72</f>
        <v>1100</v>
      </c>
      <c r="G72" s="84">
        <f>F72</f>
        <v>1100</v>
      </c>
      <c r="H72" s="237"/>
      <c r="I72" s="237"/>
      <c r="J72" s="237"/>
      <c r="K72" s="237"/>
    </row>
    <row r="73" spans="1:11" x14ac:dyDescent="0.25">
      <c r="A73" s="92" t="s">
        <v>263</v>
      </c>
      <c r="B73" s="75">
        <v>2172</v>
      </c>
      <c r="C73" s="75" t="s">
        <v>221</v>
      </c>
      <c r="D73" s="84">
        <v>27.97</v>
      </c>
      <c r="E73" s="75">
        <v>1</v>
      </c>
      <c r="F73" s="84">
        <f>D73*E73</f>
        <v>27.97</v>
      </c>
      <c r="G73" s="84">
        <f t="shared" ref="G73" si="7">F73</f>
        <v>27.97</v>
      </c>
      <c r="H73" s="237"/>
      <c r="I73" s="237"/>
      <c r="J73" s="237"/>
      <c r="K73" s="237"/>
    </row>
    <row r="74" spans="1:11" ht="60" x14ac:dyDescent="0.25">
      <c r="A74" s="91" t="s">
        <v>40</v>
      </c>
      <c r="B74" s="75"/>
      <c r="C74" s="75"/>
      <c r="D74" s="81">
        <f>SUM(D75:D76)</f>
        <v>60.8</v>
      </c>
      <c r="E74" s="82">
        <f>SUM(E75:E76)</f>
        <v>4</v>
      </c>
      <c r="F74" s="81">
        <f>SUM(F75:F76)</f>
        <v>121.6</v>
      </c>
      <c r="G74" s="81">
        <f>SUM(G75:G76)</f>
        <v>121.6</v>
      </c>
      <c r="H74" s="237"/>
      <c r="I74" s="237"/>
      <c r="J74" s="237"/>
      <c r="K74" s="237"/>
    </row>
    <row r="75" spans="1:11" x14ac:dyDescent="0.25">
      <c r="A75" s="128" t="s">
        <v>263</v>
      </c>
      <c r="B75" s="75">
        <v>2172</v>
      </c>
      <c r="C75" s="75" t="s">
        <v>221</v>
      </c>
      <c r="D75" s="84">
        <v>27.97</v>
      </c>
      <c r="E75" s="75">
        <v>2</v>
      </c>
      <c r="F75" s="84">
        <f>D75*E75</f>
        <v>55.94</v>
      </c>
      <c r="G75" s="84">
        <f>F75</f>
        <v>55.94</v>
      </c>
      <c r="H75" s="237"/>
      <c r="I75" s="237"/>
      <c r="J75" s="237"/>
      <c r="K75" s="237"/>
    </row>
    <row r="76" spans="1:11" x14ac:dyDescent="0.25">
      <c r="A76" s="128" t="s">
        <v>262</v>
      </c>
      <c r="B76" s="75">
        <v>2171</v>
      </c>
      <c r="C76" s="75" t="s">
        <v>221</v>
      </c>
      <c r="D76" s="84">
        <v>32.83</v>
      </c>
      <c r="E76" s="75">
        <v>2</v>
      </c>
      <c r="F76" s="84">
        <f>D76*E76</f>
        <v>65.66</v>
      </c>
      <c r="G76" s="84">
        <f t="shared" ref="G76" si="8">F76</f>
        <v>65.66</v>
      </c>
      <c r="H76" s="237"/>
      <c r="I76" s="237"/>
      <c r="J76" s="237"/>
      <c r="K76" s="237"/>
    </row>
    <row r="77" spans="1:11" ht="45" x14ac:dyDescent="0.25">
      <c r="A77" s="91" t="s">
        <v>41</v>
      </c>
      <c r="B77" s="75"/>
      <c r="C77" s="75"/>
      <c r="D77" s="81">
        <f>SUM(D78:D78)</f>
        <v>100</v>
      </c>
      <c r="E77" s="82">
        <f>SUM(E78:E78)</f>
        <v>18</v>
      </c>
      <c r="F77" s="81">
        <f>SUM(F78:F78)</f>
        <v>1800</v>
      </c>
      <c r="G77" s="81">
        <f>SUM(G78:G78)</f>
        <v>1800</v>
      </c>
      <c r="H77" s="237"/>
      <c r="I77" s="237"/>
      <c r="J77" s="237"/>
      <c r="K77" s="237"/>
    </row>
    <row r="78" spans="1:11" x14ac:dyDescent="0.25">
      <c r="A78" s="92" t="s">
        <v>264</v>
      </c>
      <c r="B78" s="75">
        <v>972</v>
      </c>
      <c r="C78" s="75" t="s">
        <v>221</v>
      </c>
      <c r="D78" s="84">
        <v>100</v>
      </c>
      <c r="E78" s="75">
        <v>18</v>
      </c>
      <c r="F78" s="84">
        <f>D78*E78</f>
        <v>1800</v>
      </c>
      <c r="G78" s="84">
        <f>F78</f>
        <v>1800</v>
      </c>
      <c r="H78" s="237"/>
      <c r="I78" s="240"/>
      <c r="J78" s="237"/>
      <c r="K78" s="237"/>
    </row>
    <row r="79" spans="1:11" ht="31.5" customHeight="1" x14ac:dyDescent="0.25">
      <c r="A79" s="424" t="s">
        <v>212</v>
      </c>
      <c r="B79" s="424"/>
      <c r="C79" s="424"/>
      <c r="D79" s="424"/>
      <c r="E79" s="424"/>
      <c r="F79" s="424"/>
      <c r="G79" s="424"/>
      <c r="H79" s="237"/>
      <c r="I79" s="237"/>
      <c r="J79" s="237"/>
      <c r="K79" s="237"/>
    </row>
    <row r="80" spans="1:11" x14ac:dyDescent="0.25">
      <c r="A80" s="64" t="s">
        <v>205</v>
      </c>
      <c r="H80" s="237"/>
      <c r="I80" s="237"/>
      <c r="J80" s="237"/>
      <c r="K80" s="237"/>
    </row>
    <row r="81" spans="1:11" ht="30" x14ac:dyDescent="0.25">
      <c r="A81" s="93" t="s">
        <v>47</v>
      </c>
      <c r="D81" s="81">
        <f>SUM(D82:D82)</f>
        <v>100</v>
      </c>
      <c r="E81" s="82">
        <f>SUM(E82:E82)</f>
        <v>30</v>
      </c>
      <c r="F81" s="81">
        <f>SUM(F82:F82)</f>
        <v>3000</v>
      </c>
      <c r="G81" s="81">
        <f>SUM(G82:G82)</f>
        <v>3000</v>
      </c>
      <c r="H81" s="237"/>
      <c r="I81" s="237"/>
      <c r="J81" s="237"/>
      <c r="K81" s="237"/>
    </row>
    <row r="82" spans="1:11" x14ac:dyDescent="0.25">
      <c r="A82" s="83" t="s">
        <v>222</v>
      </c>
      <c r="B82" s="75">
        <v>972</v>
      </c>
      <c r="C82" s="75" t="s">
        <v>221</v>
      </c>
      <c r="D82" s="84">
        <v>100</v>
      </c>
      <c r="E82" s="75">
        <v>30</v>
      </c>
      <c r="F82" s="84">
        <f>D82*E82</f>
        <v>3000</v>
      </c>
      <c r="G82" s="84">
        <f>F82</f>
        <v>3000</v>
      </c>
      <c r="H82" s="237"/>
      <c r="I82" s="237"/>
      <c r="J82" s="237"/>
      <c r="K82" s="237"/>
    </row>
    <row r="83" spans="1:11" ht="30" x14ac:dyDescent="0.25">
      <c r="A83" s="80" t="s">
        <v>48</v>
      </c>
      <c r="B83" s="75"/>
      <c r="C83" s="75"/>
      <c r="D83" s="94">
        <f>SUM(D84:D85)</f>
        <v>60.8</v>
      </c>
      <c r="E83" s="82">
        <f>SUM(E84:E85)</f>
        <v>4</v>
      </c>
      <c r="F83" s="94">
        <f>SUM(F84:F85)</f>
        <v>121.6</v>
      </c>
      <c r="G83" s="94">
        <f>SUM(G84:G85)</f>
        <v>121.6</v>
      </c>
      <c r="H83" s="237"/>
      <c r="I83" s="237"/>
      <c r="J83" s="237"/>
      <c r="K83" s="237"/>
    </row>
    <row r="84" spans="1:11" x14ac:dyDescent="0.25">
      <c r="A84" s="75" t="s">
        <v>265</v>
      </c>
      <c r="B84" s="75">
        <v>2171</v>
      </c>
      <c r="C84" s="75" t="s">
        <v>221</v>
      </c>
      <c r="D84" s="84">
        <v>32.83</v>
      </c>
      <c r="E84" s="75">
        <v>2</v>
      </c>
      <c r="F84" s="84">
        <f>D84*E84</f>
        <v>65.66</v>
      </c>
      <c r="G84" s="84">
        <f>F84</f>
        <v>65.66</v>
      </c>
      <c r="H84" s="237"/>
      <c r="I84" s="237"/>
      <c r="J84" s="237"/>
      <c r="K84" s="237"/>
    </row>
    <row r="85" spans="1:11" x14ac:dyDescent="0.25">
      <c r="A85" s="75" t="s">
        <v>266</v>
      </c>
      <c r="B85" s="75">
        <v>2172</v>
      </c>
      <c r="C85" s="75" t="s">
        <v>221</v>
      </c>
      <c r="D85" s="84">
        <v>27.97</v>
      </c>
      <c r="E85" s="75">
        <v>2</v>
      </c>
      <c r="F85" s="84">
        <f>D85*E85</f>
        <v>55.94</v>
      </c>
      <c r="G85" s="84">
        <f t="shared" ref="G85" si="9">F85</f>
        <v>55.94</v>
      </c>
      <c r="H85" s="237"/>
      <c r="I85" s="240"/>
      <c r="J85" s="243"/>
      <c r="K85" s="237"/>
    </row>
    <row r="86" spans="1:11" x14ac:dyDescent="0.25">
      <c r="H86" s="237"/>
      <c r="I86" s="237"/>
      <c r="J86" s="237"/>
      <c r="K86" s="237"/>
    </row>
    <row r="87" spans="1:11" ht="45" customHeight="1" x14ac:dyDescent="0.25">
      <c r="A87" s="423" t="s">
        <v>206</v>
      </c>
      <c r="B87" s="423"/>
      <c r="C87" s="423"/>
      <c r="D87" s="423"/>
      <c r="E87" s="423"/>
      <c r="F87" s="423"/>
      <c r="G87" s="423"/>
      <c r="H87" s="237"/>
      <c r="I87" s="237"/>
      <c r="J87" s="237"/>
      <c r="K87" s="237"/>
    </row>
    <row r="88" spans="1:11" x14ac:dyDescent="0.25">
      <c r="A88" s="64" t="s">
        <v>207</v>
      </c>
      <c r="H88" s="237"/>
      <c r="I88" s="237"/>
      <c r="J88" s="237"/>
      <c r="K88" s="237"/>
    </row>
    <row r="89" spans="1:11" ht="30" x14ac:dyDescent="0.25">
      <c r="A89" s="95" t="s">
        <v>53</v>
      </c>
      <c r="B89" s="75"/>
      <c r="C89" s="75"/>
      <c r="D89" s="94">
        <f>SUM(D90:D91)</f>
        <v>132.82999999999998</v>
      </c>
      <c r="E89" s="82">
        <f>SUM(E90:E91)</f>
        <v>8</v>
      </c>
      <c r="F89" s="94">
        <f>SUM(F90:F91)</f>
        <v>665.66</v>
      </c>
      <c r="G89" s="94">
        <f>SUM(G90:G91)</f>
        <v>665.66</v>
      </c>
      <c r="H89" s="237"/>
      <c r="I89" s="237"/>
      <c r="J89" s="237"/>
      <c r="K89" s="237"/>
    </row>
    <row r="90" spans="1:11" x14ac:dyDescent="0.25">
      <c r="A90" s="96" t="s">
        <v>222</v>
      </c>
      <c r="B90" s="75">
        <v>972</v>
      </c>
      <c r="C90" s="75" t="s">
        <v>268</v>
      </c>
      <c r="D90" s="84">
        <v>100</v>
      </c>
      <c r="E90" s="75">
        <v>6</v>
      </c>
      <c r="F90" s="84">
        <f>D90*E90</f>
        <v>600</v>
      </c>
      <c r="G90" s="84">
        <f>F90</f>
        <v>600</v>
      </c>
      <c r="H90" s="237"/>
      <c r="I90" s="237"/>
      <c r="J90" s="237"/>
      <c r="K90" s="237"/>
    </row>
    <row r="91" spans="1:11" x14ac:dyDescent="0.25">
      <c r="A91" s="96" t="s">
        <v>267</v>
      </c>
      <c r="B91" s="75">
        <v>2171</v>
      </c>
      <c r="C91" s="75" t="s">
        <v>268</v>
      </c>
      <c r="D91" s="84">
        <v>32.83</v>
      </c>
      <c r="E91" s="75">
        <v>2</v>
      </c>
      <c r="F91" s="84">
        <f>D91*E91</f>
        <v>65.66</v>
      </c>
      <c r="G91" s="84">
        <f t="shared" ref="G91" si="10">F91</f>
        <v>65.66</v>
      </c>
      <c r="H91" s="237"/>
      <c r="I91" s="237"/>
      <c r="J91" s="237"/>
      <c r="K91" s="237"/>
    </row>
    <row r="92" spans="1:11" ht="30" x14ac:dyDescent="0.25">
      <c r="A92" s="95" t="s">
        <v>54</v>
      </c>
      <c r="B92" s="75"/>
      <c r="C92" s="75"/>
      <c r="D92" s="94">
        <f>SUM(D93:D94)</f>
        <v>132.82999999999998</v>
      </c>
      <c r="E92" s="82">
        <f>SUM(E93:E94)</f>
        <v>14</v>
      </c>
      <c r="F92" s="94">
        <f>SUM(F93:F94)</f>
        <v>1265.6600000000001</v>
      </c>
      <c r="G92" s="94">
        <f>SUM(G93:G94)</f>
        <v>1265.6600000000001</v>
      </c>
      <c r="H92" s="237"/>
      <c r="I92" s="237"/>
      <c r="J92" s="237"/>
      <c r="K92" s="237"/>
    </row>
    <row r="93" spans="1:11" x14ac:dyDescent="0.25">
      <c r="A93" s="96" t="s">
        <v>222</v>
      </c>
      <c r="B93" s="75">
        <v>972</v>
      </c>
      <c r="C93" s="75" t="s">
        <v>268</v>
      </c>
      <c r="D93" s="84">
        <v>100</v>
      </c>
      <c r="E93" s="75">
        <v>12</v>
      </c>
      <c r="F93" s="84">
        <f>D93*E93</f>
        <v>1200</v>
      </c>
      <c r="G93" s="84">
        <f>F93</f>
        <v>1200</v>
      </c>
      <c r="H93" s="237"/>
      <c r="I93" s="237"/>
      <c r="J93" s="237"/>
      <c r="K93" s="237"/>
    </row>
    <row r="94" spans="1:11" x14ac:dyDescent="0.25">
      <c r="A94" s="96" t="s">
        <v>267</v>
      </c>
      <c r="B94" s="75">
        <v>971</v>
      </c>
      <c r="C94" s="75" t="s">
        <v>268</v>
      </c>
      <c r="D94" s="84">
        <v>32.83</v>
      </c>
      <c r="E94" s="75">
        <v>2</v>
      </c>
      <c r="F94" s="84">
        <f>D94*E94</f>
        <v>65.66</v>
      </c>
      <c r="G94" s="84">
        <f t="shared" ref="G94" si="11">F94</f>
        <v>65.66</v>
      </c>
      <c r="H94" s="237"/>
      <c r="I94" s="237"/>
      <c r="J94" s="237"/>
      <c r="K94" s="237"/>
    </row>
    <row r="95" spans="1:11" x14ac:dyDescent="0.25">
      <c r="A95" s="95" t="s">
        <v>55</v>
      </c>
      <c r="B95" s="75"/>
      <c r="C95" s="75"/>
      <c r="D95" s="94">
        <f>SUM(D96:D97)</f>
        <v>150</v>
      </c>
      <c r="E95" s="82">
        <f>SUM(E96:E97)</f>
        <v>85</v>
      </c>
      <c r="F95" s="94">
        <f>SUM(F96:F97)</f>
        <v>7250</v>
      </c>
      <c r="G95" s="94">
        <f>SUM(G96:G97)</f>
        <v>7250</v>
      </c>
      <c r="H95" s="237"/>
      <c r="I95" s="237"/>
      <c r="J95" s="237"/>
      <c r="K95" s="237"/>
    </row>
    <row r="96" spans="1:11" x14ac:dyDescent="0.25">
      <c r="A96" s="96" t="s">
        <v>222</v>
      </c>
      <c r="B96" s="75">
        <v>972</v>
      </c>
      <c r="C96" s="75" t="s">
        <v>268</v>
      </c>
      <c r="D96" s="84">
        <v>100</v>
      </c>
      <c r="E96" s="75">
        <v>60</v>
      </c>
      <c r="F96" s="84">
        <f>D96*E96</f>
        <v>6000</v>
      </c>
      <c r="G96" s="84">
        <f>F96</f>
        <v>6000</v>
      </c>
      <c r="H96" s="237"/>
      <c r="I96" s="237"/>
      <c r="J96" s="237"/>
      <c r="K96" s="237"/>
    </row>
    <row r="97" spans="1:11" x14ac:dyDescent="0.25">
      <c r="A97" s="96" t="s">
        <v>222</v>
      </c>
      <c r="B97" s="75">
        <v>974</v>
      </c>
      <c r="C97" s="75" t="s">
        <v>268</v>
      </c>
      <c r="D97" s="84">
        <v>50</v>
      </c>
      <c r="E97" s="75">
        <v>25</v>
      </c>
      <c r="F97" s="84">
        <f>D97*E97</f>
        <v>1250</v>
      </c>
      <c r="G97" s="84">
        <f t="shared" ref="G97" si="12">F97</f>
        <v>1250</v>
      </c>
      <c r="H97" s="237"/>
      <c r="I97" s="237"/>
      <c r="J97" s="237"/>
      <c r="K97" s="237"/>
    </row>
    <row r="98" spans="1:11" ht="30" x14ac:dyDescent="0.25">
      <c r="A98" s="95" t="s">
        <v>56</v>
      </c>
      <c r="B98" s="75"/>
      <c r="C98" s="75"/>
      <c r="D98" s="94">
        <f>SUM(D99:D100)</f>
        <v>60.8</v>
      </c>
      <c r="E98" s="82">
        <f>SUM(E99:E100)</f>
        <v>8</v>
      </c>
      <c r="F98" s="94">
        <f>SUM(F99:F100)</f>
        <v>243.2</v>
      </c>
      <c r="G98" s="94">
        <f>SUM(G99:G100)</f>
        <v>243.2</v>
      </c>
      <c r="H98" s="237"/>
      <c r="I98" s="237"/>
      <c r="J98" s="237"/>
      <c r="K98" s="237"/>
    </row>
    <row r="99" spans="1:11" x14ac:dyDescent="0.25">
      <c r="A99" s="75" t="s">
        <v>265</v>
      </c>
      <c r="B99" s="75">
        <v>2171</v>
      </c>
      <c r="C99" s="75" t="s">
        <v>221</v>
      </c>
      <c r="D99" s="84">
        <v>32.83</v>
      </c>
      <c r="E99" s="75">
        <v>4</v>
      </c>
      <c r="F99" s="84">
        <f>D99*E99</f>
        <v>131.32</v>
      </c>
      <c r="G99" s="84">
        <f>F99</f>
        <v>131.32</v>
      </c>
      <c r="H99" s="237"/>
      <c r="I99" s="237"/>
      <c r="J99" s="237"/>
      <c r="K99" s="237"/>
    </row>
    <row r="100" spans="1:11" x14ac:dyDescent="0.25">
      <c r="A100" s="75" t="s">
        <v>266</v>
      </c>
      <c r="B100" s="75">
        <v>2172</v>
      </c>
      <c r="C100" s="75" t="s">
        <v>221</v>
      </c>
      <c r="D100" s="84">
        <v>27.97</v>
      </c>
      <c r="E100" s="75">
        <v>4</v>
      </c>
      <c r="F100" s="84">
        <f>D100*E100</f>
        <v>111.88</v>
      </c>
      <c r="G100" s="84">
        <f t="shared" ref="G100" si="13">F100</f>
        <v>111.88</v>
      </c>
      <c r="H100" s="237"/>
      <c r="I100" s="237"/>
      <c r="J100" s="237"/>
      <c r="K100" s="237"/>
    </row>
    <row r="101" spans="1:11" ht="30" x14ac:dyDescent="0.25">
      <c r="A101" s="95" t="s">
        <v>57</v>
      </c>
      <c r="B101" s="75"/>
      <c r="C101" s="75"/>
      <c r="D101" s="94">
        <f>SUM(D102:D103)</f>
        <v>33.729999999999997</v>
      </c>
      <c r="E101" s="82">
        <f>SUM(E102:E103)</f>
        <v>304</v>
      </c>
      <c r="F101" s="94">
        <f>SUM(F102:F104)</f>
        <v>513.20000000000005</v>
      </c>
      <c r="G101" s="94">
        <f>SUM(G102:G104)</f>
        <v>513.20000000000005</v>
      </c>
      <c r="H101" s="237"/>
      <c r="I101" s="237"/>
      <c r="J101" s="237"/>
      <c r="K101" s="237"/>
    </row>
    <row r="102" spans="1:11" x14ac:dyDescent="0.25">
      <c r="A102" s="75" t="s">
        <v>390</v>
      </c>
      <c r="B102" s="75"/>
      <c r="C102" s="75" t="s">
        <v>268</v>
      </c>
      <c r="D102" s="84">
        <v>0.9</v>
      </c>
      <c r="E102" s="75">
        <v>300</v>
      </c>
      <c r="F102" s="84">
        <f>D102*E102</f>
        <v>270</v>
      </c>
      <c r="G102" s="84">
        <f>F102</f>
        <v>270</v>
      </c>
      <c r="H102" s="237"/>
      <c r="I102" s="237"/>
      <c r="J102" s="237"/>
      <c r="K102" s="237"/>
    </row>
    <row r="103" spans="1:11" x14ac:dyDescent="0.25">
      <c r="A103" s="75" t="s">
        <v>265</v>
      </c>
      <c r="B103" s="75">
        <v>2171</v>
      </c>
      <c r="C103" s="75" t="s">
        <v>221</v>
      </c>
      <c r="D103" s="84">
        <v>32.83</v>
      </c>
      <c r="E103" s="75">
        <v>4</v>
      </c>
      <c r="F103" s="84">
        <f>D103*E103</f>
        <v>131.32</v>
      </c>
      <c r="G103" s="84">
        <f>F103</f>
        <v>131.32</v>
      </c>
      <c r="H103" s="237"/>
      <c r="I103" s="237"/>
      <c r="J103" s="237"/>
      <c r="K103" s="237"/>
    </row>
    <row r="104" spans="1:11" x14ac:dyDescent="0.25">
      <c r="A104" s="75" t="s">
        <v>266</v>
      </c>
      <c r="B104" s="75">
        <v>2172</v>
      </c>
      <c r="C104" s="75" t="s">
        <v>221</v>
      </c>
      <c r="D104" s="84">
        <v>27.97</v>
      </c>
      <c r="E104" s="75">
        <v>4</v>
      </c>
      <c r="F104" s="84">
        <f>D104*E104</f>
        <v>111.88</v>
      </c>
      <c r="G104" s="84">
        <f t="shared" ref="G104" si="14">F104</f>
        <v>111.88</v>
      </c>
      <c r="H104" s="237"/>
      <c r="I104" s="237"/>
      <c r="J104" s="237"/>
      <c r="K104" s="237"/>
    </row>
    <row r="105" spans="1:11" ht="30" x14ac:dyDescent="0.25">
      <c r="A105" s="95" t="s">
        <v>58</v>
      </c>
      <c r="B105" s="75"/>
      <c r="C105" s="75"/>
      <c r="D105" s="94">
        <f>SUM(D106:D109)</f>
        <v>210.79999999999998</v>
      </c>
      <c r="E105" s="82">
        <f>SUM(E106:E109)</f>
        <v>94</v>
      </c>
      <c r="F105" s="94">
        <f>SUM(F106:F109)</f>
        <v>7621.5999999999995</v>
      </c>
      <c r="G105" s="94">
        <f>SUM(G106:G109)</f>
        <v>7621.5999999999995</v>
      </c>
      <c r="H105" s="237"/>
      <c r="I105" s="237"/>
      <c r="J105" s="237"/>
      <c r="K105" s="237"/>
    </row>
    <row r="106" spans="1:11" x14ac:dyDescent="0.25">
      <c r="A106" s="96" t="s">
        <v>222</v>
      </c>
      <c r="B106" s="75">
        <v>972</v>
      </c>
      <c r="C106" s="75"/>
      <c r="D106" s="84">
        <v>100</v>
      </c>
      <c r="E106" s="75">
        <v>60</v>
      </c>
      <c r="F106" s="84">
        <f>D106*E106</f>
        <v>6000</v>
      </c>
      <c r="G106" s="84">
        <f>F106</f>
        <v>6000</v>
      </c>
      <c r="H106" s="237"/>
      <c r="I106" s="237"/>
      <c r="J106" s="237"/>
      <c r="K106" s="237"/>
    </row>
    <row r="107" spans="1:11" x14ac:dyDescent="0.25">
      <c r="A107" s="96" t="s">
        <v>222</v>
      </c>
      <c r="B107" s="75">
        <v>974</v>
      </c>
      <c r="C107" s="75"/>
      <c r="D107" s="84">
        <v>50</v>
      </c>
      <c r="E107" s="75">
        <v>30</v>
      </c>
      <c r="F107" s="84">
        <f>D107*E107</f>
        <v>1500</v>
      </c>
      <c r="G107" s="84">
        <f t="shared" ref="G107" si="15">F107</f>
        <v>1500</v>
      </c>
      <c r="H107" s="237"/>
      <c r="I107" s="237"/>
      <c r="J107" s="237"/>
      <c r="K107" s="237"/>
    </row>
    <row r="108" spans="1:11" x14ac:dyDescent="0.25">
      <c r="A108" s="75" t="s">
        <v>265</v>
      </c>
      <c r="B108" s="75">
        <v>2171</v>
      </c>
      <c r="C108" s="75" t="s">
        <v>221</v>
      </c>
      <c r="D108" s="84">
        <v>32.83</v>
      </c>
      <c r="E108" s="75">
        <v>2</v>
      </c>
      <c r="F108" s="84">
        <f>D108*E108</f>
        <v>65.66</v>
      </c>
      <c r="G108" s="84">
        <f>F108</f>
        <v>65.66</v>
      </c>
      <c r="H108" s="237"/>
      <c r="I108" s="237"/>
      <c r="J108" s="237"/>
      <c r="K108" s="237"/>
    </row>
    <row r="109" spans="1:11" x14ac:dyDescent="0.25">
      <c r="A109" s="75" t="s">
        <v>266</v>
      </c>
      <c r="B109" s="75">
        <v>2172</v>
      </c>
      <c r="C109" s="75" t="s">
        <v>221</v>
      </c>
      <c r="D109" s="84">
        <v>27.97</v>
      </c>
      <c r="E109" s="75">
        <v>2</v>
      </c>
      <c r="F109" s="84">
        <f>D109*E109</f>
        <v>55.94</v>
      </c>
      <c r="G109" s="84">
        <f t="shared" ref="G109" si="16">F109</f>
        <v>55.94</v>
      </c>
      <c r="H109" s="237"/>
      <c r="I109" s="237"/>
      <c r="J109" s="237"/>
      <c r="K109" s="237"/>
    </row>
    <row r="110" spans="1:11" ht="45" x14ac:dyDescent="0.25">
      <c r="A110" s="95" t="s">
        <v>59</v>
      </c>
      <c r="B110" s="75"/>
      <c r="C110" s="75"/>
      <c r="D110" s="94">
        <f>SUM(D111:D111)</f>
        <v>50</v>
      </c>
      <c r="E110" s="82">
        <f>SUM(E111:E111)</f>
        <v>4</v>
      </c>
      <c r="F110" s="94">
        <f>SUM(F111:F111)</f>
        <v>200</v>
      </c>
      <c r="G110" s="94">
        <f>SUM(G111:G111)</f>
        <v>200</v>
      </c>
      <c r="H110" s="237"/>
      <c r="I110" s="237"/>
      <c r="J110" s="237"/>
      <c r="K110" s="237"/>
    </row>
    <row r="111" spans="1:11" x14ac:dyDescent="0.25">
      <c r="A111" s="96" t="s">
        <v>222</v>
      </c>
      <c r="B111" s="75">
        <v>974</v>
      </c>
      <c r="C111" s="75" t="s">
        <v>268</v>
      </c>
      <c r="D111" s="84">
        <v>50</v>
      </c>
      <c r="E111" s="75">
        <v>4</v>
      </c>
      <c r="F111" s="84">
        <f>D111*E111</f>
        <v>200</v>
      </c>
      <c r="G111" s="84">
        <f>F111</f>
        <v>200</v>
      </c>
      <c r="H111" s="237"/>
      <c r="I111" s="237"/>
      <c r="J111" s="237"/>
      <c r="K111" s="237"/>
    </row>
    <row r="112" spans="1:11" ht="45" x14ac:dyDescent="0.25">
      <c r="A112" s="95" t="s">
        <v>60</v>
      </c>
      <c r="B112" s="75"/>
      <c r="C112" s="75"/>
      <c r="D112" s="94">
        <f>SUM(D113:D113)</f>
        <v>100</v>
      </c>
      <c r="E112" s="82">
        <f>SUM(E113:E113)</f>
        <v>15</v>
      </c>
      <c r="F112" s="94">
        <f>SUM(F113:F113)</f>
        <v>1500</v>
      </c>
      <c r="G112" s="94">
        <f>SUM(G113:G114)</f>
        <v>1527.97</v>
      </c>
      <c r="H112" s="237"/>
      <c r="I112" s="237"/>
      <c r="J112" s="237"/>
      <c r="K112" s="237"/>
    </row>
    <row r="113" spans="1:11" x14ac:dyDescent="0.25">
      <c r="A113" s="96" t="s">
        <v>222</v>
      </c>
      <c r="B113" s="75">
        <v>972</v>
      </c>
      <c r="C113" s="75"/>
      <c r="D113" s="84">
        <v>100</v>
      </c>
      <c r="E113" s="75">
        <v>15</v>
      </c>
      <c r="F113" s="84">
        <f>D113*E113</f>
        <v>1500</v>
      </c>
      <c r="G113" s="84">
        <f>F113</f>
        <v>1500</v>
      </c>
      <c r="H113" s="237"/>
      <c r="I113" s="237"/>
      <c r="J113" s="237"/>
      <c r="K113" s="237"/>
    </row>
    <row r="114" spans="1:11" x14ac:dyDescent="0.25">
      <c r="A114" s="75" t="s">
        <v>266</v>
      </c>
      <c r="B114" s="75">
        <v>2172</v>
      </c>
      <c r="C114" s="75" t="s">
        <v>221</v>
      </c>
      <c r="D114" s="84">
        <v>27.97</v>
      </c>
      <c r="E114" s="75">
        <v>1</v>
      </c>
      <c r="F114" s="84">
        <f>D114*E114</f>
        <v>27.97</v>
      </c>
      <c r="G114" s="84">
        <f>F114</f>
        <v>27.97</v>
      </c>
      <c r="H114" s="237"/>
      <c r="I114" s="237"/>
      <c r="J114" s="237"/>
      <c r="K114" s="237"/>
    </row>
    <row r="115" spans="1:11" x14ac:dyDescent="0.25">
      <c r="A115" s="95" t="s">
        <v>61</v>
      </c>
      <c r="B115" s="75"/>
      <c r="C115" s="75"/>
      <c r="D115" s="94">
        <f>SUM(D116:D122)</f>
        <v>1102.8499999999999</v>
      </c>
      <c r="E115" s="82">
        <f>SUM(E116:E122)</f>
        <v>232</v>
      </c>
      <c r="F115" s="94">
        <f>SUM(F116:F122)</f>
        <v>32062.7</v>
      </c>
      <c r="G115" s="94">
        <f>SUM(G116:G122)</f>
        <v>32062.7</v>
      </c>
      <c r="H115" s="237"/>
      <c r="I115" s="237"/>
      <c r="J115" s="237"/>
      <c r="K115" s="237"/>
    </row>
    <row r="116" spans="1:11" x14ac:dyDescent="0.25">
      <c r="A116" s="96" t="s">
        <v>269</v>
      </c>
      <c r="B116" s="75">
        <v>1502</v>
      </c>
      <c r="C116" s="75" t="s">
        <v>268</v>
      </c>
      <c r="D116" s="84">
        <f>3300/22</f>
        <v>150</v>
      </c>
      <c r="E116" s="75">
        <v>22</v>
      </c>
      <c r="F116" s="84">
        <f>D116*E116</f>
        <v>3300</v>
      </c>
      <c r="G116" s="84">
        <f>F116</f>
        <v>3300</v>
      </c>
      <c r="H116" s="237"/>
      <c r="I116" s="237"/>
      <c r="J116" s="237"/>
      <c r="K116" s="237"/>
    </row>
    <row r="117" spans="1:11" x14ac:dyDescent="0.25">
      <c r="A117" s="96" t="s">
        <v>270</v>
      </c>
      <c r="B117" s="75">
        <v>1923</v>
      </c>
      <c r="C117" s="75" t="s">
        <v>268</v>
      </c>
      <c r="D117" s="84">
        <f>6820/22</f>
        <v>310</v>
      </c>
      <c r="E117" s="75">
        <v>22</v>
      </c>
      <c r="F117" s="84">
        <f t="shared" ref="F117:F122" si="17">D117*E117</f>
        <v>6820</v>
      </c>
      <c r="G117" s="84">
        <f t="shared" ref="G117:G122" si="18">F117</f>
        <v>6820</v>
      </c>
      <c r="H117" s="237"/>
      <c r="I117" s="237"/>
      <c r="J117" s="237"/>
      <c r="K117" s="237"/>
    </row>
    <row r="118" spans="1:11" x14ac:dyDescent="0.25">
      <c r="A118" s="96" t="s">
        <v>271</v>
      </c>
      <c r="B118" s="75">
        <v>2459</v>
      </c>
      <c r="C118" s="75" t="s">
        <v>268</v>
      </c>
      <c r="D118" s="84">
        <f>1206.7/22</f>
        <v>54.85</v>
      </c>
      <c r="E118" s="75">
        <v>22</v>
      </c>
      <c r="F118" s="84">
        <f t="shared" si="17"/>
        <v>1206.7</v>
      </c>
      <c r="G118" s="84">
        <f t="shared" si="18"/>
        <v>1206.7</v>
      </c>
      <c r="H118" s="237"/>
      <c r="I118" s="237"/>
      <c r="J118" s="237"/>
      <c r="K118" s="237"/>
    </row>
    <row r="119" spans="1:11" x14ac:dyDescent="0.25">
      <c r="A119" s="96" t="s">
        <v>272</v>
      </c>
      <c r="B119" s="75">
        <v>558</v>
      </c>
      <c r="C119" s="75" t="s">
        <v>268</v>
      </c>
      <c r="D119" s="84">
        <f>2860/22</f>
        <v>130</v>
      </c>
      <c r="E119" s="75">
        <v>22</v>
      </c>
      <c r="F119" s="84">
        <f t="shared" si="17"/>
        <v>2860</v>
      </c>
      <c r="G119" s="84">
        <f t="shared" si="18"/>
        <v>2860</v>
      </c>
      <c r="H119" s="237"/>
      <c r="I119" s="237"/>
      <c r="J119" s="237"/>
      <c r="K119" s="237"/>
    </row>
    <row r="120" spans="1:11" x14ac:dyDescent="0.25">
      <c r="A120" s="96" t="s">
        <v>273</v>
      </c>
      <c r="B120" s="75">
        <v>1479</v>
      </c>
      <c r="C120" s="75" t="s">
        <v>268</v>
      </c>
      <c r="D120" s="84">
        <f>506/22</f>
        <v>23</v>
      </c>
      <c r="E120" s="75">
        <v>22</v>
      </c>
      <c r="F120" s="84">
        <f t="shared" si="17"/>
        <v>506</v>
      </c>
      <c r="G120" s="84">
        <f t="shared" si="18"/>
        <v>506</v>
      </c>
      <c r="H120" s="237"/>
      <c r="I120" s="237"/>
      <c r="J120" s="237"/>
      <c r="K120" s="237"/>
    </row>
    <row r="121" spans="1:11" x14ac:dyDescent="0.25">
      <c r="A121" s="96" t="s">
        <v>222</v>
      </c>
      <c r="B121" s="75">
        <v>972</v>
      </c>
      <c r="C121" s="75" t="s">
        <v>268</v>
      </c>
      <c r="D121" s="84">
        <v>100</v>
      </c>
      <c r="E121" s="75">
        <v>100</v>
      </c>
      <c r="F121" s="84">
        <f t="shared" si="17"/>
        <v>10000</v>
      </c>
      <c r="G121" s="84">
        <f t="shared" si="18"/>
        <v>10000</v>
      </c>
      <c r="H121" s="237"/>
      <c r="I121" s="237"/>
      <c r="J121" s="237"/>
      <c r="K121" s="237"/>
    </row>
    <row r="122" spans="1:11" x14ac:dyDescent="0.25">
      <c r="A122" s="96" t="s">
        <v>274</v>
      </c>
      <c r="B122" s="75">
        <v>793</v>
      </c>
      <c r="C122" s="75" t="s">
        <v>268</v>
      </c>
      <c r="D122" s="84">
        <f>7370/22</f>
        <v>335</v>
      </c>
      <c r="E122" s="75">
        <v>22</v>
      </c>
      <c r="F122" s="84">
        <f t="shared" si="17"/>
        <v>7370</v>
      </c>
      <c r="G122" s="84">
        <f t="shared" si="18"/>
        <v>7370</v>
      </c>
      <c r="H122" s="237"/>
      <c r="I122" s="237"/>
      <c r="J122" s="237"/>
      <c r="K122" s="237"/>
    </row>
    <row r="123" spans="1:11" x14ac:dyDescent="0.25">
      <c r="A123" s="95" t="s">
        <v>62</v>
      </c>
      <c r="B123" s="75"/>
      <c r="C123" s="75"/>
      <c r="D123" s="94">
        <f>SUM(D124:D124)</f>
        <v>100</v>
      </c>
      <c r="E123" s="82">
        <f>SUM(E124:E124)</f>
        <v>50</v>
      </c>
      <c r="F123" s="94">
        <f>SUM(F124:F124)</f>
        <v>5000</v>
      </c>
      <c r="G123" s="94">
        <f>SUM(G124:G124)</f>
        <v>5000</v>
      </c>
      <c r="H123" s="237"/>
      <c r="I123" s="237"/>
      <c r="J123" s="237"/>
      <c r="K123" s="237"/>
    </row>
    <row r="124" spans="1:11" x14ac:dyDescent="0.25">
      <c r="A124" s="96" t="s">
        <v>222</v>
      </c>
      <c r="B124" s="75">
        <v>972</v>
      </c>
      <c r="C124" s="75" t="s">
        <v>268</v>
      </c>
      <c r="D124" s="84">
        <v>100</v>
      </c>
      <c r="E124" s="75">
        <v>50</v>
      </c>
      <c r="F124" s="84">
        <f>D124*E124</f>
        <v>5000</v>
      </c>
      <c r="G124" s="84">
        <f>F124</f>
        <v>5000</v>
      </c>
      <c r="H124" s="237"/>
      <c r="I124" s="237"/>
      <c r="J124" s="237"/>
      <c r="K124" s="237"/>
    </row>
    <row r="125" spans="1:11" ht="30" x14ac:dyDescent="0.25">
      <c r="A125" s="95" t="s">
        <v>63</v>
      </c>
      <c r="B125" s="75"/>
      <c r="C125" s="75"/>
      <c r="D125" s="94">
        <f>SUM(D126:D126)</f>
        <v>100</v>
      </c>
      <c r="E125" s="82">
        <f>SUM(E126:E126)</f>
        <v>6</v>
      </c>
      <c r="F125" s="94">
        <f>SUM(F126:F126)</f>
        <v>600</v>
      </c>
      <c r="G125" s="94">
        <f>SUM(G126:G126)</f>
        <v>600</v>
      </c>
      <c r="H125" s="237"/>
      <c r="I125" s="237"/>
      <c r="J125" s="237"/>
      <c r="K125" s="237"/>
    </row>
    <row r="126" spans="1:11" x14ac:dyDescent="0.25">
      <c r="A126" s="96" t="s">
        <v>222</v>
      </c>
      <c r="B126" s="75">
        <v>972</v>
      </c>
      <c r="C126" s="75" t="s">
        <v>268</v>
      </c>
      <c r="D126" s="84">
        <v>100</v>
      </c>
      <c r="E126" s="75">
        <v>6</v>
      </c>
      <c r="F126" s="84">
        <f>D126*E126</f>
        <v>600</v>
      </c>
      <c r="G126" s="84">
        <f>F126</f>
        <v>600</v>
      </c>
      <c r="H126" s="237"/>
      <c r="I126" s="237"/>
      <c r="J126" s="237"/>
      <c r="K126" s="237"/>
    </row>
    <row r="127" spans="1:11" ht="30" x14ac:dyDescent="0.25">
      <c r="A127" s="95" t="s">
        <v>64</v>
      </c>
      <c r="B127" s="75"/>
      <c r="C127" s="75"/>
      <c r="D127" s="94">
        <f>SUM(D128:D129)</f>
        <v>60.8</v>
      </c>
      <c r="E127" s="82">
        <f>SUM(E128:E129)</f>
        <v>9</v>
      </c>
      <c r="F127" s="94">
        <f>SUM(F128:F129)</f>
        <v>290.61</v>
      </c>
      <c r="G127" s="94">
        <f>SUM(G128:G129)</f>
        <v>290.61</v>
      </c>
      <c r="H127" s="237"/>
      <c r="I127" s="237"/>
      <c r="J127" s="237"/>
      <c r="K127" s="237"/>
    </row>
    <row r="128" spans="1:11" x14ac:dyDescent="0.25">
      <c r="A128" s="96" t="s">
        <v>267</v>
      </c>
      <c r="B128" s="75">
        <v>971</v>
      </c>
      <c r="C128" s="75" t="s">
        <v>268</v>
      </c>
      <c r="D128" s="84">
        <v>32.83</v>
      </c>
      <c r="E128" s="75">
        <v>8</v>
      </c>
      <c r="F128" s="84">
        <f>D128*E128</f>
        <v>262.64</v>
      </c>
      <c r="G128" s="84">
        <f>F128</f>
        <v>262.64</v>
      </c>
      <c r="H128" s="237"/>
      <c r="I128" s="237"/>
      <c r="J128" s="237"/>
      <c r="K128" s="237"/>
    </row>
    <row r="129" spans="1:11" x14ac:dyDescent="0.25">
      <c r="A129" s="96" t="s">
        <v>275</v>
      </c>
      <c r="B129" s="75">
        <v>974</v>
      </c>
      <c r="C129" s="75" t="s">
        <v>268</v>
      </c>
      <c r="D129" s="84">
        <v>27.97</v>
      </c>
      <c r="E129" s="75">
        <v>1</v>
      </c>
      <c r="F129" s="84">
        <f>D129*E129</f>
        <v>27.97</v>
      </c>
      <c r="G129" s="84">
        <f t="shared" ref="G129" si="19">F129</f>
        <v>27.97</v>
      </c>
      <c r="H129" s="237"/>
      <c r="I129" s="237"/>
      <c r="J129" s="237"/>
      <c r="K129" s="237"/>
    </row>
    <row r="130" spans="1:11" ht="30" x14ac:dyDescent="0.25">
      <c r="A130" s="95" t="s">
        <v>65</v>
      </c>
      <c r="B130" s="75"/>
      <c r="C130" s="75"/>
      <c r="D130" s="94">
        <f>SUM(D131:D133)</f>
        <v>110.8</v>
      </c>
      <c r="E130" s="82">
        <f>SUM(E131:E133)</f>
        <v>195</v>
      </c>
      <c r="F130" s="94">
        <f>SUM(F131:F133)</f>
        <v>9162</v>
      </c>
      <c r="G130" s="94">
        <f>SUM(G131:G133)</f>
        <v>9162</v>
      </c>
      <c r="H130" s="237"/>
      <c r="I130" s="237"/>
      <c r="J130" s="237"/>
      <c r="K130" s="237"/>
    </row>
    <row r="131" spans="1:11" x14ac:dyDescent="0.25">
      <c r="A131" s="96" t="s">
        <v>222</v>
      </c>
      <c r="B131" s="75">
        <v>972</v>
      </c>
      <c r="C131" s="75" t="s">
        <v>268</v>
      </c>
      <c r="D131" s="84">
        <v>50</v>
      </c>
      <c r="E131" s="75">
        <v>165</v>
      </c>
      <c r="F131" s="84">
        <f>D131*E131</f>
        <v>8250</v>
      </c>
      <c r="G131" s="84">
        <f>F131</f>
        <v>8250</v>
      </c>
      <c r="H131" s="237"/>
      <c r="I131" s="237"/>
      <c r="J131" s="237"/>
      <c r="K131" s="237"/>
    </row>
    <row r="132" spans="1:11" x14ac:dyDescent="0.25">
      <c r="A132" s="96" t="s">
        <v>267</v>
      </c>
      <c r="B132" s="75">
        <v>971</v>
      </c>
      <c r="C132" s="75" t="s">
        <v>268</v>
      </c>
      <c r="D132" s="84">
        <v>32.83</v>
      </c>
      <c r="E132" s="75">
        <v>15</v>
      </c>
      <c r="F132" s="84">
        <f t="shared" ref="F132:F133" si="20">D132*E132</f>
        <v>492.45</v>
      </c>
      <c r="G132" s="84">
        <f t="shared" ref="G132:G133" si="21">F132</f>
        <v>492.45</v>
      </c>
      <c r="H132" s="237"/>
      <c r="I132" s="237"/>
      <c r="J132" s="237"/>
      <c r="K132" s="237"/>
    </row>
    <row r="133" spans="1:11" x14ac:dyDescent="0.25">
      <c r="A133" s="96" t="s">
        <v>263</v>
      </c>
      <c r="B133" s="75">
        <v>974</v>
      </c>
      <c r="C133" s="75" t="s">
        <v>268</v>
      </c>
      <c r="D133" s="84">
        <v>27.97</v>
      </c>
      <c r="E133" s="75">
        <v>15</v>
      </c>
      <c r="F133" s="84">
        <f t="shared" si="20"/>
        <v>419.54999999999995</v>
      </c>
      <c r="G133" s="84">
        <f t="shared" si="21"/>
        <v>419.54999999999995</v>
      </c>
      <c r="H133" s="237"/>
      <c r="I133" s="237"/>
      <c r="J133" s="237"/>
      <c r="K133" s="237"/>
    </row>
    <row r="134" spans="1:11" ht="45" x14ac:dyDescent="0.25">
      <c r="A134" s="95" t="s">
        <v>66</v>
      </c>
      <c r="B134" s="75"/>
      <c r="C134" s="75"/>
      <c r="D134" s="94"/>
      <c r="E134" s="82"/>
      <c r="F134" s="94">
        <f>SUM(F135:F138)</f>
        <v>1629.52</v>
      </c>
      <c r="G134" s="94">
        <f>SUM(G135:G138)</f>
        <v>1629.52</v>
      </c>
      <c r="H134" s="237"/>
      <c r="I134" s="237"/>
      <c r="J134" s="237"/>
      <c r="K134" s="237"/>
    </row>
    <row r="135" spans="1:11" ht="30" x14ac:dyDescent="0.25">
      <c r="A135" s="129" t="s">
        <v>276</v>
      </c>
      <c r="B135" s="75">
        <v>1308</v>
      </c>
      <c r="C135" s="75" t="s">
        <v>268</v>
      </c>
      <c r="D135" s="84">
        <f>11.55/15</f>
        <v>0.77</v>
      </c>
      <c r="E135" s="75">
        <v>15</v>
      </c>
      <c r="F135" s="84">
        <f>D135*E135</f>
        <v>11.55</v>
      </c>
      <c r="G135" s="84">
        <f>F135</f>
        <v>11.55</v>
      </c>
      <c r="H135" s="237"/>
      <c r="I135" s="237"/>
      <c r="J135" s="237"/>
      <c r="K135" s="237"/>
    </row>
    <row r="136" spans="1:11" x14ac:dyDescent="0.25">
      <c r="A136" s="96" t="s">
        <v>222</v>
      </c>
      <c r="B136" s="75">
        <v>972</v>
      </c>
      <c r="C136" s="75" t="s">
        <v>268</v>
      </c>
      <c r="D136" s="84">
        <v>100</v>
      </c>
      <c r="E136" s="75">
        <v>15</v>
      </c>
      <c r="F136" s="84">
        <f>D136*E136</f>
        <v>1500</v>
      </c>
      <c r="G136" s="84">
        <f>F136</f>
        <v>1500</v>
      </c>
      <c r="H136" s="237"/>
      <c r="I136" s="237"/>
      <c r="J136" s="237"/>
      <c r="K136" s="237"/>
    </row>
    <row r="137" spans="1:11" x14ac:dyDescent="0.25">
      <c r="A137" s="75" t="s">
        <v>390</v>
      </c>
      <c r="B137" s="75"/>
      <c r="C137" s="75" t="s">
        <v>268</v>
      </c>
      <c r="D137" s="84">
        <v>0.9</v>
      </c>
      <c r="E137" s="75">
        <v>100</v>
      </c>
      <c r="F137" s="84">
        <f>D137*E137</f>
        <v>90</v>
      </c>
      <c r="G137" s="84">
        <f>F137</f>
        <v>90</v>
      </c>
      <c r="H137" s="237"/>
      <c r="I137" s="237"/>
      <c r="J137" s="237"/>
      <c r="K137" s="237"/>
    </row>
    <row r="138" spans="1:11" x14ac:dyDescent="0.25">
      <c r="A138" s="96" t="s">
        <v>263</v>
      </c>
      <c r="B138" s="75">
        <v>974</v>
      </c>
      <c r="C138" s="75" t="s">
        <v>268</v>
      </c>
      <c r="D138" s="84">
        <v>27.97</v>
      </c>
      <c r="E138" s="75">
        <v>1</v>
      </c>
      <c r="F138" s="84">
        <f t="shared" ref="F138" si="22">D138*E138</f>
        <v>27.97</v>
      </c>
      <c r="G138" s="84">
        <f t="shared" ref="G138" si="23">F138</f>
        <v>27.97</v>
      </c>
      <c r="H138" s="240"/>
      <c r="I138" s="243"/>
      <c r="J138" s="237"/>
      <c r="K138" s="237"/>
    </row>
    <row r="139" spans="1:11" x14ac:dyDescent="0.25">
      <c r="H139" s="237"/>
      <c r="I139" s="237"/>
      <c r="J139" s="237"/>
      <c r="K139" s="237"/>
    </row>
    <row r="140" spans="1:11" ht="26.25" customHeight="1" x14ac:dyDescent="0.25">
      <c r="A140" s="422" t="s">
        <v>208</v>
      </c>
      <c r="B140" s="422"/>
      <c r="C140" s="422"/>
      <c r="D140" s="422"/>
      <c r="E140" s="422"/>
      <c r="F140" s="422"/>
      <c r="G140" s="422"/>
      <c r="H140" s="237"/>
      <c r="I140" s="237"/>
      <c r="J140" s="237"/>
      <c r="K140" s="237"/>
    </row>
    <row r="141" spans="1:11" x14ac:dyDescent="0.25">
      <c r="A141" s="64" t="s">
        <v>205</v>
      </c>
      <c r="H141" s="237"/>
      <c r="I141" s="237"/>
      <c r="J141" s="237"/>
      <c r="K141" s="237"/>
    </row>
    <row r="142" spans="1:11" ht="27" customHeight="1" x14ac:dyDescent="0.25">
      <c r="A142" s="97" t="s">
        <v>68</v>
      </c>
      <c r="B142" s="75"/>
      <c r="C142" s="75"/>
      <c r="D142" s="94"/>
      <c r="E142" s="82"/>
      <c r="F142" s="94">
        <f>SUM(F143:F145)</f>
        <v>1060.8</v>
      </c>
      <c r="G142" s="94">
        <f>SUM(G143:G145)</f>
        <v>1060.8</v>
      </c>
      <c r="H142" s="237"/>
      <c r="I142" s="237"/>
      <c r="J142" s="237"/>
      <c r="K142" s="237"/>
    </row>
    <row r="143" spans="1:11" x14ac:dyDescent="0.25">
      <c r="A143" s="96" t="s">
        <v>222</v>
      </c>
      <c r="B143" s="75">
        <v>972</v>
      </c>
      <c r="C143" s="75" t="s">
        <v>268</v>
      </c>
      <c r="D143" s="84">
        <v>100</v>
      </c>
      <c r="E143" s="75">
        <v>10</v>
      </c>
      <c r="F143" s="84">
        <f>D143*E143</f>
        <v>1000</v>
      </c>
      <c r="G143" s="84">
        <f>F143</f>
        <v>1000</v>
      </c>
      <c r="H143" s="237"/>
      <c r="I143" s="237"/>
      <c r="J143" s="237"/>
      <c r="K143" s="237"/>
    </row>
    <row r="144" spans="1:11" x14ac:dyDescent="0.25">
      <c r="A144" s="96" t="s">
        <v>263</v>
      </c>
      <c r="B144" s="75">
        <v>974</v>
      </c>
      <c r="C144" s="75" t="s">
        <v>268</v>
      </c>
      <c r="D144" s="84">
        <v>27.97</v>
      </c>
      <c r="E144" s="75">
        <v>1</v>
      </c>
      <c r="F144" s="84">
        <f t="shared" ref="F144:F145" si="24">D144*E144</f>
        <v>27.97</v>
      </c>
      <c r="G144" s="84">
        <f t="shared" ref="G144:G145" si="25">F144</f>
        <v>27.97</v>
      </c>
      <c r="H144" s="237"/>
      <c r="I144" s="237"/>
      <c r="J144" s="237"/>
      <c r="K144" s="237"/>
    </row>
    <row r="145" spans="1:11" x14ac:dyDescent="0.25">
      <c r="A145" s="96" t="s">
        <v>267</v>
      </c>
      <c r="B145" s="75">
        <v>971</v>
      </c>
      <c r="C145" s="75" t="s">
        <v>268</v>
      </c>
      <c r="D145" s="84">
        <v>32.83</v>
      </c>
      <c r="E145" s="75">
        <v>1</v>
      </c>
      <c r="F145" s="84">
        <f t="shared" si="24"/>
        <v>32.83</v>
      </c>
      <c r="G145" s="84">
        <f t="shared" si="25"/>
        <v>32.83</v>
      </c>
      <c r="H145" s="237"/>
      <c r="I145" s="237"/>
      <c r="J145" s="237"/>
      <c r="K145" s="237"/>
    </row>
    <row r="146" spans="1:11" x14ac:dyDescent="0.25">
      <c r="A146" s="98" t="s">
        <v>69</v>
      </c>
      <c r="B146" s="75"/>
      <c r="C146" s="75"/>
      <c r="D146" s="94">
        <f>SUM(D147:D148)</f>
        <v>2.3075999999999999</v>
      </c>
      <c r="E146" s="82">
        <f>SUM(E147:E148)</f>
        <v>100</v>
      </c>
      <c r="F146" s="94">
        <f>SUM(F147:F148)</f>
        <v>115.38000000000001</v>
      </c>
      <c r="G146" s="94">
        <f>SUM(G147:G148)</f>
        <v>115.38000000000001</v>
      </c>
      <c r="H146" s="237"/>
      <c r="I146" s="237"/>
      <c r="J146" s="237"/>
      <c r="K146" s="237"/>
    </row>
    <row r="147" spans="1:11" x14ac:dyDescent="0.25">
      <c r="A147" s="74" t="s">
        <v>277</v>
      </c>
      <c r="B147" s="75">
        <v>1512</v>
      </c>
      <c r="C147" s="75" t="s">
        <v>268</v>
      </c>
      <c r="D147" s="84">
        <f>60/50</f>
        <v>1.2</v>
      </c>
      <c r="E147" s="75">
        <v>50</v>
      </c>
      <c r="F147" s="84">
        <f>D147*E147</f>
        <v>60</v>
      </c>
      <c r="G147" s="84">
        <f>F147</f>
        <v>60</v>
      </c>
      <c r="H147" s="237"/>
      <c r="I147" s="237"/>
      <c r="J147" s="237"/>
      <c r="K147" s="237"/>
    </row>
    <row r="148" spans="1:11" x14ac:dyDescent="0.25">
      <c r="A148" s="88" t="s">
        <v>278</v>
      </c>
      <c r="B148" s="75">
        <v>1513</v>
      </c>
      <c r="C148" s="75" t="s">
        <v>268</v>
      </c>
      <c r="D148" s="84">
        <f>55.38/50</f>
        <v>1.1076000000000001</v>
      </c>
      <c r="E148" s="75">
        <v>50</v>
      </c>
      <c r="F148" s="84">
        <f>D148*E148</f>
        <v>55.38000000000001</v>
      </c>
      <c r="G148" s="84">
        <f t="shared" ref="G148" si="26">F148</f>
        <v>55.38000000000001</v>
      </c>
      <c r="H148" s="237"/>
      <c r="I148" s="237"/>
      <c r="J148" s="237"/>
      <c r="K148" s="237"/>
    </row>
    <row r="149" spans="1:11" ht="30" x14ac:dyDescent="0.25">
      <c r="A149" s="95" t="s">
        <v>70</v>
      </c>
      <c r="B149" s="75"/>
      <c r="C149" s="75"/>
      <c r="D149" s="94">
        <f>SUM(D150:D156)</f>
        <v>174.96</v>
      </c>
      <c r="E149" s="82">
        <f>SUM(E150:E156)</f>
        <v>15704</v>
      </c>
      <c r="F149" s="94">
        <f>SUM(F150:F156)</f>
        <v>102195.76000000001</v>
      </c>
      <c r="G149" s="94">
        <f>SUM(G150:G156)</f>
        <v>102195.76000000001</v>
      </c>
      <c r="H149" s="237"/>
      <c r="I149" s="237"/>
      <c r="J149" s="237"/>
      <c r="K149" s="237"/>
    </row>
    <row r="150" spans="1:11" x14ac:dyDescent="0.25">
      <c r="A150" s="88" t="s">
        <v>279</v>
      </c>
      <c r="B150" s="75">
        <v>127</v>
      </c>
      <c r="C150" s="75" t="s">
        <v>268</v>
      </c>
      <c r="D150" s="84">
        <f>30000/5000</f>
        <v>6</v>
      </c>
      <c r="E150" s="75">
        <v>5000</v>
      </c>
      <c r="F150" s="84">
        <f>D150*E150</f>
        <v>30000</v>
      </c>
      <c r="G150" s="84">
        <f>F150</f>
        <v>30000</v>
      </c>
      <c r="H150" s="237"/>
      <c r="I150" s="237"/>
      <c r="J150" s="237"/>
      <c r="K150" s="237"/>
    </row>
    <row r="151" spans="1:11" x14ac:dyDescent="0.25">
      <c r="A151" s="88" t="s">
        <v>280</v>
      </c>
      <c r="B151" s="75">
        <v>126</v>
      </c>
      <c r="C151" s="75" t="s">
        <v>268</v>
      </c>
      <c r="D151" s="84">
        <f>35000/5000</f>
        <v>7</v>
      </c>
      <c r="E151" s="75">
        <v>5000</v>
      </c>
      <c r="F151" s="84">
        <f t="shared" ref="F151:F156" si="27">D151*E151</f>
        <v>35000</v>
      </c>
      <c r="G151" s="84">
        <f t="shared" ref="G151:G156" si="28">F151</f>
        <v>35000</v>
      </c>
      <c r="H151" s="237"/>
      <c r="I151" s="237"/>
      <c r="J151" s="237"/>
      <c r="K151" s="237"/>
    </row>
    <row r="152" spans="1:11" x14ac:dyDescent="0.25">
      <c r="A152" s="88" t="s">
        <v>281</v>
      </c>
      <c r="B152" s="75">
        <v>125</v>
      </c>
      <c r="C152" s="75" t="s">
        <v>268</v>
      </c>
      <c r="D152" s="84">
        <f>27000/5000</f>
        <v>5.4</v>
      </c>
      <c r="E152" s="75">
        <v>5000</v>
      </c>
      <c r="F152" s="84">
        <f t="shared" si="27"/>
        <v>27000</v>
      </c>
      <c r="G152" s="84">
        <f t="shared" si="28"/>
        <v>27000</v>
      </c>
      <c r="H152" s="237"/>
      <c r="I152" s="237"/>
      <c r="J152" s="237"/>
      <c r="K152" s="237"/>
    </row>
    <row r="153" spans="1:11" x14ac:dyDescent="0.25">
      <c r="A153" s="88" t="s">
        <v>391</v>
      </c>
      <c r="B153" s="75">
        <v>2172</v>
      </c>
      <c r="C153" s="75" t="s">
        <v>268</v>
      </c>
      <c r="D153" s="84">
        <f>167.82/6</f>
        <v>27.97</v>
      </c>
      <c r="E153" s="75">
        <v>6</v>
      </c>
      <c r="F153" s="84">
        <f t="shared" si="27"/>
        <v>167.82</v>
      </c>
      <c r="G153" s="84">
        <f t="shared" si="28"/>
        <v>167.82</v>
      </c>
      <c r="H153" s="237"/>
      <c r="I153" s="237"/>
      <c r="J153" s="237"/>
      <c r="K153" s="237"/>
    </row>
    <row r="154" spans="1:11" x14ac:dyDescent="0.25">
      <c r="A154" s="88" t="s">
        <v>282</v>
      </c>
      <c r="B154" s="75">
        <v>971</v>
      </c>
      <c r="C154" s="75" t="s">
        <v>268</v>
      </c>
      <c r="D154" s="84">
        <v>100</v>
      </c>
      <c r="E154" s="75">
        <v>96</v>
      </c>
      <c r="F154" s="84">
        <f t="shared" si="27"/>
        <v>9600</v>
      </c>
      <c r="G154" s="84">
        <f t="shared" si="28"/>
        <v>9600</v>
      </c>
      <c r="H154" s="237"/>
      <c r="I154" s="237"/>
      <c r="J154" s="237"/>
      <c r="K154" s="237"/>
    </row>
    <row r="155" spans="1:11" x14ac:dyDescent="0.25">
      <c r="A155" s="88" t="s">
        <v>283</v>
      </c>
      <c r="B155" s="75">
        <v>378</v>
      </c>
      <c r="C155" s="75" t="s">
        <v>268</v>
      </c>
      <c r="D155" s="84">
        <f>372/600</f>
        <v>0.62</v>
      </c>
      <c r="E155" s="75">
        <v>600</v>
      </c>
      <c r="F155" s="84">
        <f t="shared" si="27"/>
        <v>372</v>
      </c>
      <c r="G155" s="84">
        <f t="shared" si="28"/>
        <v>372</v>
      </c>
      <c r="H155" s="237"/>
      <c r="I155" s="237"/>
      <c r="J155" s="237"/>
      <c r="K155" s="237"/>
    </row>
    <row r="156" spans="1:11" x14ac:dyDescent="0.25">
      <c r="A156" s="88" t="s">
        <v>226</v>
      </c>
      <c r="B156" s="75">
        <v>2172</v>
      </c>
      <c r="C156" s="75" t="s">
        <v>268</v>
      </c>
      <c r="D156" s="84">
        <v>27.97</v>
      </c>
      <c r="E156" s="75">
        <v>2</v>
      </c>
      <c r="F156" s="84">
        <f t="shared" si="27"/>
        <v>55.94</v>
      </c>
      <c r="G156" s="84">
        <f t="shared" si="28"/>
        <v>55.94</v>
      </c>
      <c r="H156" s="237"/>
      <c r="I156" s="237"/>
      <c r="J156" s="237"/>
      <c r="K156" s="237"/>
    </row>
    <row r="157" spans="1:11" x14ac:dyDescent="0.25">
      <c r="A157" s="98" t="s">
        <v>71</v>
      </c>
      <c r="B157" s="75"/>
      <c r="C157" s="75"/>
      <c r="D157" s="94">
        <f>SUM(D158:D158)</f>
        <v>100</v>
      </c>
      <c r="E157" s="82">
        <f>SUM(E158:E158)</f>
        <v>10</v>
      </c>
      <c r="F157" s="94">
        <f>SUM(F158:F158)</f>
        <v>1000</v>
      </c>
      <c r="G157" s="94">
        <f>SUM(G158:G158)</f>
        <v>1000</v>
      </c>
      <c r="H157" s="237"/>
      <c r="I157" s="237"/>
      <c r="J157" s="237"/>
      <c r="K157" s="237"/>
    </row>
    <row r="158" spans="1:11" x14ac:dyDescent="0.25">
      <c r="A158" s="88" t="s">
        <v>282</v>
      </c>
      <c r="B158" s="75">
        <v>972</v>
      </c>
      <c r="C158" s="75" t="s">
        <v>268</v>
      </c>
      <c r="D158" s="84">
        <v>100</v>
      </c>
      <c r="E158" s="75">
        <v>10</v>
      </c>
      <c r="F158" s="84">
        <f>D158*E158</f>
        <v>1000</v>
      </c>
      <c r="G158" s="84">
        <f>F158</f>
        <v>1000</v>
      </c>
      <c r="H158" s="237"/>
      <c r="I158" s="237"/>
      <c r="J158" s="237"/>
      <c r="K158" s="237"/>
    </row>
    <row r="159" spans="1:11" x14ac:dyDescent="0.25">
      <c r="A159" s="98" t="s">
        <v>72</v>
      </c>
      <c r="B159" s="75"/>
      <c r="C159" s="75"/>
      <c r="D159" s="94">
        <f>SUM(D160:D160)</f>
        <v>100</v>
      </c>
      <c r="E159" s="82">
        <f>SUM(E160:E160)</f>
        <v>10</v>
      </c>
      <c r="F159" s="94">
        <f>SUM(F160:F160)</f>
        <v>1000</v>
      </c>
      <c r="G159" s="94">
        <f>SUM(G160:G160)</f>
        <v>1000</v>
      </c>
      <c r="H159" s="237"/>
      <c r="I159" s="237"/>
      <c r="J159" s="237"/>
      <c r="K159" s="237"/>
    </row>
    <row r="160" spans="1:11" x14ac:dyDescent="0.25">
      <c r="A160" s="88" t="s">
        <v>282</v>
      </c>
      <c r="B160" s="75">
        <v>972</v>
      </c>
      <c r="C160" s="75" t="s">
        <v>268</v>
      </c>
      <c r="D160" s="84">
        <v>100</v>
      </c>
      <c r="E160" s="75">
        <v>10</v>
      </c>
      <c r="F160" s="84">
        <f>D160*E160</f>
        <v>1000</v>
      </c>
      <c r="G160" s="84">
        <f>F160</f>
        <v>1000</v>
      </c>
      <c r="H160" s="237"/>
      <c r="I160" s="237"/>
      <c r="J160" s="237"/>
      <c r="K160" s="237"/>
    </row>
    <row r="161" spans="1:11" ht="30" x14ac:dyDescent="0.25">
      <c r="A161" s="95" t="s">
        <v>73</v>
      </c>
      <c r="B161" s="75"/>
      <c r="C161" s="75"/>
      <c r="D161" s="94"/>
      <c r="E161" s="82"/>
      <c r="F161" s="94">
        <f>SUM(F162:F164)</f>
        <v>90.8</v>
      </c>
      <c r="G161" s="94">
        <f>SUM(G162:G164)</f>
        <v>90.8</v>
      </c>
      <c r="H161" s="237"/>
      <c r="I161" s="237"/>
      <c r="J161" s="237"/>
      <c r="K161" s="237"/>
    </row>
    <row r="162" spans="1:11" ht="30" x14ac:dyDescent="0.25">
      <c r="A162" s="88" t="s">
        <v>276</v>
      </c>
      <c r="B162" s="75">
        <v>1308</v>
      </c>
      <c r="C162" s="75" t="s">
        <v>268</v>
      </c>
      <c r="D162" s="84">
        <f>30/30</f>
        <v>1</v>
      </c>
      <c r="E162" s="75">
        <v>30</v>
      </c>
      <c r="F162" s="84">
        <f>D162*E162</f>
        <v>30</v>
      </c>
      <c r="G162" s="84">
        <f>F162</f>
        <v>30</v>
      </c>
      <c r="H162" s="237"/>
      <c r="I162" s="237"/>
      <c r="J162" s="237"/>
      <c r="K162" s="237"/>
    </row>
    <row r="163" spans="1:11" x14ac:dyDescent="0.25">
      <c r="A163" s="96" t="s">
        <v>263</v>
      </c>
      <c r="B163" s="75">
        <v>974</v>
      </c>
      <c r="C163" s="75" t="s">
        <v>268</v>
      </c>
      <c r="D163" s="84">
        <v>27.97</v>
      </c>
      <c r="E163" s="75">
        <v>1</v>
      </c>
      <c r="F163" s="84">
        <f t="shared" ref="F163:F164" si="29">D163*E163</f>
        <v>27.97</v>
      </c>
      <c r="G163" s="84">
        <f t="shared" ref="G163:G164" si="30">F163</f>
        <v>27.97</v>
      </c>
      <c r="H163" s="237"/>
      <c r="I163" s="237"/>
      <c r="J163" s="237"/>
      <c r="K163" s="237"/>
    </row>
    <row r="164" spans="1:11" x14ac:dyDescent="0.25">
      <c r="A164" s="96" t="s">
        <v>267</v>
      </c>
      <c r="B164" s="75">
        <v>971</v>
      </c>
      <c r="C164" s="75" t="s">
        <v>268</v>
      </c>
      <c r="D164" s="84">
        <v>32.83</v>
      </c>
      <c r="E164" s="75">
        <v>1</v>
      </c>
      <c r="F164" s="84">
        <f t="shared" si="29"/>
        <v>32.83</v>
      </c>
      <c r="G164" s="84">
        <f t="shared" si="30"/>
        <v>32.83</v>
      </c>
      <c r="H164" s="237"/>
      <c r="I164" s="237"/>
      <c r="J164" s="237"/>
      <c r="K164" s="237"/>
    </row>
    <row r="165" spans="1:11" x14ac:dyDescent="0.25">
      <c r="A165" s="95" t="s">
        <v>74</v>
      </c>
      <c r="B165" s="75"/>
      <c r="C165" s="75"/>
      <c r="D165" s="94"/>
      <c r="E165" s="82"/>
      <c r="F165" s="94">
        <f>SUM(F166:F167)</f>
        <v>1527.97</v>
      </c>
      <c r="G165" s="94">
        <f>SUM(G166:G167)</f>
        <v>1527.97</v>
      </c>
      <c r="H165" s="237"/>
      <c r="I165" s="237"/>
      <c r="J165" s="237"/>
      <c r="K165" s="237"/>
    </row>
    <row r="166" spans="1:11" x14ac:dyDescent="0.25">
      <c r="A166" s="75" t="s">
        <v>222</v>
      </c>
      <c r="B166" s="75">
        <v>972</v>
      </c>
      <c r="C166" s="75" t="s">
        <v>268</v>
      </c>
      <c r="D166" s="84">
        <v>100</v>
      </c>
      <c r="E166" s="75">
        <v>15</v>
      </c>
      <c r="F166" s="84">
        <f>D166*E166</f>
        <v>1500</v>
      </c>
      <c r="G166" s="84">
        <f>F166</f>
        <v>1500</v>
      </c>
      <c r="H166" s="237"/>
      <c r="I166" s="237"/>
      <c r="J166" s="237"/>
      <c r="K166" s="237"/>
    </row>
    <row r="167" spans="1:11" x14ac:dyDescent="0.25">
      <c r="A167" s="96" t="s">
        <v>263</v>
      </c>
      <c r="B167" s="75">
        <v>974</v>
      </c>
      <c r="C167" s="75" t="s">
        <v>268</v>
      </c>
      <c r="D167" s="84">
        <v>27.97</v>
      </c>
      <c r="E167" s="75">
        <v>1</v>
      </c>
      <c r="F167" s="84">
        <f t="shared" ref="F167" si="31">D167*E167</f>
        <v>27.97</v>
      </c>
      <c r="G167" s="84">
        <f t="shared" ref="G167" si="32">F167</f>
        <v>27.97</v>
      </c>
      <c r="H167" s="240"/>
      <c r="I167" s="243"/>
      <c r="J167" s="237"/>
      <c r="K167" s="237"/>
    </row>
    <row r="168" spans="1:11" ht="18" customHeight="1" x14ac:dyDescent="0.25">
      <c r="H168" s="237"/>
      <c r="I168" s="237"/>
      <c r="J168" s="237"/>
      <c r="K168" s="237"/>
    </row>
    <row r="169" spans="1:11" ht="30" customHeight="1" x14ac:dyDescent="0.25">
      <c r="A169" s="440" t="s">
        <v>209</v>
      </c>
      <c r="B169" s="440"/>
      <c r="C169" s="440"/>
      <c r="D169" s="440"/>
      <c r="E169" s="440"/>
      <c r="F169" s="440"/>
      <c r="G169" s="440"/>
      <c r="H169" s="237"/>
      <c r="I169" s="237"/>
      <c r="J169" s="237"/>
      <c r="K169" s="237"/>
    </row>
    <row r="170" spans="1:11" x14ac:dyDescent="0.25">
      <c r="A170" s="64" t="s">
        <v>207</v>
      </c>
      <c r="H170" s="237"/>
      <c r="I170" s="237"/>
      <c r="J170" s="237"/>
      <c r="K170" s="237"/>
    </row>
    <row r="171" spans="1:11" ht="45" x14ac:dyDescent="0.25">
      <c r="A171" s="99" t="s">
        <v>210</v>
      </c>
      <c r="B171" s="75"/>
      <c r="C171" s="75"/>
      <c r="D171" s="94">
        <f>SUM(D172:D173)</f>
        <v>127.97</v>
      </c>
      <c r="E171" s="82">
        <f>SUM(E172:E173)</f>
        <v>10</v>
      </c>
      <c r="F171" s="94">
        <f>SUM(F172:F173)</f>
        <v>927.97</v>
      </c>
      <c r="G171" s="94">
        <f>SUM(G172:G173)</f>
        <v>927.97</v>
      </c>
      <c r="H171" s="237"/>
      <c r="I171" s="237"/>
      <c r="J171" s="237"/>
      <c r="K171" s="237"/>
    </row>
    <row r="172" spans="1:11" x14ac:dyDescent="0.25">
      <c r="A172" s="12" t="s">
        <v>222</v>
      </c>
      <c r="B172" s="75">
        <v>972</v>
      </c>
      <c r="C172" s="75" t="s">
        <v>268</v>
      </c>
      <c r="D172" s="84">
        <v>100</v>
      </c>
      <c r="E172" s="75">
        <v>9</v>
      </c>
      <c r="F172" s="84">
        <f>D172*E172</f>
        <v>900</v>
      </c>
      <c r="G172" s="84">
        <f>F172</f>
        <v>900</v>
      </c>
      <c r="H172" s="237"/>
      <c r="I172" s="237"/>
      <c r="J172" s="237"/>
      <c r="K172" s="237"/>
    </row>
    <row r="173" spans="1:11" x14ac:dyDescent="0.25">
      <c r="A173" s="12" t="s">
        <v>263</v>
      </c>
      <c r="B173" s="75">
        <v>2172</v>
      </c>
      <c r="C173" s="75" t="s">
        <v>268</v>
      </c>
      <c r="D173" s="84">
        <v>27.97</v>
      </c>
      <c r="E173" s="75">
        <v>1</v>
      </c>
      <c r="F173" s="84">
        <f>D173*E173</f>
        <v>27.97</v>
      </c>
      <c r="G173" s="84">
        <f t="shared" ref="G173" si="33">F173</f>
        <v>27.97</v>
      </c>
      <c r="H173" s="237"/>
      <c r="I173" s="237"/>
      <c r="J173" s="237"/>
      <c r="K173" s="237"/>
    </row>
    <row r="174" spans="1:11" ht="30" x14ac:dyDescent="0.25">
      <c r="A174" s="100" t="s">
        <v>116</v>
      </c>
      <c r="B174" s="75"/>
      <c r="C174" s="75"/>
      <c r="D174" s="94">
        <f>SUM(D175:D175)</f>
        <v>27.97</v>
      </c>
      <c r="E174" s="82">
        <f>SUM(E175:E175)</f>
        <v>1</v>
      </c>
      <c r="F174" s="94">
        <f>SUM(F175:F175)</f>
        <v>27.97</v>
      </c>
      <c r="G174" s="94">
        <f>SUM(G175:G175)</f>
        <v>27.97</v>
      </c>
      <c r="H174" s="237"/>
      <c r="I174" s="237"/>
      <c r="J174" s="237"/>
      <c r="K174" s="237"/>
    </row>
    <row r="175" spans="1:11" x14ac:dyDescent="0.25">
      <c r="A175" s="12" t="s">
        <v>263</v>
      </c>
      <c r="B175" s="75">
        <v>2172</v>
      </c>
      <c r="C175" s="75" t="s">
        <v>268</v>
      </c>
      <c r="D175" s="84">
        <v>27.97</v>
      </c>
      <c r="E175" s="75">
        <v>1</v>
      </c>
      <c r="F175" s="84">
        <f>D175*E175</f>
        <v>27.97</v>
      </c>
      <c r="G175" s="84">
        <f>F175</f>
        <v>27.97</v>
      </c>
      <c r="H175" s="237"/>
      <c r="I175" s="237"/>
      <c r="J175" s="237"/>
      <c r="K175" s="237"/>
    </row>
    <row r="176" spans="1:11" ht="30" x14ac:dyDescent="0.25">
      <c r="A176" s="100" t="s">
        <v>117</v>
      </c>
      <c r="B176" s="75"/>
      <c r="C176" s="75"/>
      <c r="D176" s="94">
        <f>SUM(D177:D177)</f>
        <v>27.97</v>
      </c>
      <c r="E176" s="82">
        <f>SUM(E177:E177)</f>
        <v>1</v>
      </c>
      <c r="F176" s="94">
        <f>SUM(F177:F177)</f>
        <v>27.97</v>
      </c>
      <c r="G176" s="94">
        <f>SUM(G177:G177)</f>
        <v>27.97</v>
      </c>
      <c r="H176" s="237"/>
      <c r="I176" s="237"/>
      <c r="J176" s="237"/>
      <c r="K176" s="237"/>
    </row>
    <row r="177" spans="1:11" x14ac:dyDescent="0.25">
      <c r="A177" s="12" t="s">
        <v>263</v>
      </c>
      <c r="B177" s="75">
        <v>2172</v>
      </c>
      <c r="C177" s="75" t="s">
        <v>268</v>
      </c>
      <c r="D177" s="84">
        <v>27.97</v>
      </c>
      <c r="E177" s="75">
        <v>1</v>
      </c>
      <c r="F177" s="84">
        <f>D177*E177</f>
        <v>27.97</v>
      </c>
      <c r="G177" s="84">
        <f>F177</f>
        <v>27.97</v>
      </c>
      <c r="H177" s="237"/>
      <c r="I177" s="237"/>
      <c r="J177" s="237"/>
      <c r="K177" s="237"/>
    </row>
    <row r="178" spans="1:11" ht="30" x14ac:dyDescent="0.25">
      <c r="A178" s="100" t="s">
        <v>118</v>
      </c>
      <c r="B178" s="75"/>
      <c r="C178" s="75"/>
      <c r="D178" s="94">
        <f>SUM(D179:D179)</f>
        <v>27.97</v>
      </c>
      <c r="E178" s="82">
        <f>SUM(E179:E179)</f>
        <v>1</v>
      </c>
      <c r="F178" s="94">
        <f>SUM(F179:F179)</f>
        <v>27.97</v>
      </c>
      <c r="G178" s="94">
        <f>SUM(G179:G179)</f>
        <v>27.97</v>
      </c>
      <c r="H178" s="237"/>
      <c r="I178" s="237"/>
      <c r="J178" s="237"/>
      <c r="K178" s="237"/>
    </row>
    <row r="179" spans="1:11" x14ac:dyDescent="0.25">
      <c r="A179" s="75" t="s">
        <v>263</v>
      </c>
      <c r="B179" s="75">
        <v>2172</v>
      </c>
      <c r="C179" s="75" t="s">
        <v>268</v>
      </c>
      <c r="D179" s="84">
        <v>27.97</v>
      </c>
      <c r="E179" s="75">
        <v>1</v>
      </c>
      <c r="F179" s="84">
        <f>D179*E179</f>
        <v>27.97</v>
      </c>
      <c r="G179" s="84">
        <f>F179</f>
        <v>27.97</v>
      </c>
      <c r="H179" s="240"/>
      <c r="I179" s="243"/>
      <c r="J179" s="237"/>
      <c r="K179" s="237"/>
    </row>
    <row r="180" spans="1:11" ht="15" customHeight="1" x14ac:dyDescent="0.25">
      <c r="H180" s="237"/>
      <c r="I180" s="237"/>
      <c r="J180" s="237"/>
      <c r="K180" s="237"/>
    </row>
    <row r="181" spans="1:11" x14ac:dyDescent="0.25">
      <c r="A181" s="422" t="s">
        <v>211</v>
      </c>
      <c r="B181" s="422"/>
      <c r="C181" s="422"/>
      <c r="D181" s="422"/>
      <c r="E181" s="422"/>
      <c r="F181" s="422"/>
      <c r="G181" s="422"/>
      <c r="H181" s="237"/>
      <c r="I181" s="237"/>
      <c r="J181" s="237"/>
      <c r="K181" s="237"/>
    </row>
    <row r="182" spans="1:11" x14ac:dyDescent="0.25">
      <c r="A182" s="64" t="s">
        <v>207</v>
      </c>
      <c r="H182" s="237"/>
      <c r="I182" s="237"/>
      <c r="J182" s="237"/>
      <c r="K182" s="237"/>
    </row>
    <row r="183" spans="1:11" x14ac:dyDescent="0.25">
      <c r="A183" s="101" t="s">
        <v>97</v>
      </c>
      <c r="B183" s="75"/>
      <c r="C183" s="75"/>
      <c r="D183" s="94">
        <f>SUM(D184:D185)</f>
        <v>27.97</v>
      </c>
      <c r="E183" s="82">
        <f>SUM(E184:E185)</f>
        <v>1</v>
      </c>
      <c r="F183" s="94">
        <f>SUM(F184:F185)</f>
        <v>27.97</v>
      </c>
      <c r="G183" s="94">
        <f>SUM(G184:G185)</f>
        <v>27.97</v>
      </c>
      <c r="H183" s="237"/>
      <c r="I183" s="237"/>
      <c r="J183" s="237"/>
      <c r="K183" s="237"/>
    </row>
    <row r="184" spans="1:11" x14ac:dyDescent="0.25">
      <c r="A184" s="75" t="s">
        <v>263</v>
      </c>
      <c r="B184" s="75">
        <v>2172</v>
      </c>
      <c r="C184" s="75" t="s">
        <v>268</v>
      </c>
      <c r="D184" s="84">
        <v>27.97</v>
      </c>
      <c r="E184" s="75">
        <v>1</v>
      </c>
      <c r="F184" s="84">
        <f>D184*E184</f>
        <v>27.97</v>
      </c>
      <c r="G184" s="84">
        <f>F184</f>
        <v>27.97</v>
      </c>
      <c r="H184" s="237"/>
      <c r="I184" s="237"/>
      <c r="J184" s="237"/>
      <c r="K184" s="237"/>
    </row>
    <row r="185" spans="1:11" x14ac:dyDescent="0.25">
      <c r="A185" s="75" t="s">
        <v>284</v>
      </c>
      <c r="B185" s="75"/>
      <c r="C185" s="75"/>
      <c r="D185" s="84">
        <v>0</v>
      </c>
      <c r="E185" s="75">
        <v>0</v>
      </c>
      <c r="F185" s="84">
        <f>D185*E185</f>
        <v>0</v>
      </c>
      <c r="G185" s="84">
        <f>F185</f>
        <v>0</v>
      </c>
      <c r="H185" s="244"/>
      <c r="I185" s="245"/>
      <c r="J185" s="237"/>
      <c r="K185" s="237"/>
    </row>
    <row r="186" spans="1:11" ht="15" customHeight="1" x14ac:dyDescent="0.25">
      <c r="H186" s="237"/>
      <c r="I186" s="237"/>
      <c r="J186" s="237"/>
      <c r="K186" s="237"/>
    </row>
    <row r="187" spans="1:11" ht="32.25" customHeight="1" x14ac:dyDescent="0.25">
      <c r="A187" s="454" t="s">
        <v>212</v>
      </c>
      <c r="B187" s="455"/>
      <c r="C187" s="455"/>
      <c r="D187" s="455"/>
      <c r="E187" s="455"/>
      <c r="F187" s="455"/>
      <c r="G187" s="456"/>
      <c r="H187" s="237"/>
      <c r="I187" s="237"/>
      <c r="J187" s="237"/>
      <c r="K187" s="237"/>
    </row>
    <row r="188" spans="1:11" x14ac:dyDescent="0.25">
      <c r="A188" s="64" t="s">
        <v>207</v>
      </c>
      <c r="H188" s="237"/>
      <c r="I188" s="237"/>
      <c r="J188" s="237"/>
      <c r="K188" s="237"/>
    </row>
    <row r="189" spans="1:11" ht="30" x14ac:dyDescent="0.25">
      <c r="A189" s="101" t="s">
        <v>75</v>
      </c>
      <c r="B189" s="75"/>
      <c r="C189" s="75"/>
      <c r="D189" s="94">
        <f>SUM(D190:D190)</f>
        <v>32.83</v>
      </c>
      <c r="E189" s="82">
        <f>SUM(E190:E190)</f>
        <v>2</v>
      </c>
      <c r="F189" s="94">
        <f>SUM(F190:F190)</f>
        <v>65.66</v>
      </c>
      <c r="G189" s="94">
        <f>SUM(G190:G190)</f>
        <v>65.66</v>
      </c>
      <c r="H189" s="237"/>
      <c r="I189" s="237"/>
      <c r="J189" s="237"/>
      <c r="K189" s="237"/>
    </row>
    <row r="190" spans="1:11" x14ac:dyDescent="0.25">
      <c r="A190" s="102" t="s">
        <v>392</v>
      </c>
      <c r="B190" s="75">
        <v>2172</v>
      </c>
      <c r="C190" s="75" t="s">
        <v>221</v>
      </c>
      <c r="D190" s="84">
        <v>32.83</v>
      </c>
      <c r="E190" s="75">
        <v>2</v>
      </c>
      <c r="F190" s="84">
        <f>D190*E190</f>
        <v>65.66</v>
      </c>
      <c r="G190" s="84">
        <f>F190</f>
        <v>65.66</v>
      </c>
      <c r="H190" s="237"/>
      <c r="I190" s="237"/>
      <c r="J190" s="237"/>
      <c r="K190" s="237"/>
    </row>
    <row r="191" spans="1:11" ht="45" x14ac:dyDescent="0.25">
      <c r="A191" s="95" t="s">
        <v>76</v>
      </c>
      <c r="B191" s="75"/>
      <c r="C191" s="75"/>
      <c r="D191" s="94">
        <f>SUM(D192:D193)</f>
        <v>60.8</v>
      </c>
      <c r="E191" s="82">
        <f>SUM(E192:E193)</f>
        <v>4</v>
      </c>
      <c r="F191" s="94">
        <f>SUM(F192:F193)</f>
        <v>121.6</v>
      </c>
      <c r="G191" s="94">
        <f>SUM(G192:G193)</f>
        <v>121.6</v>
      </c>
      <c r="H191" s="237"/>
      <c r="I191" s="237"/>
      <c r="J191" s="237"/>
      <c r="K191" s="237"/>
    </row>
    <row r="192" spans="1:11" x14ac:dyDescent="0.25">
      <c r="A192" s="102" t="s">
        <v>285</v>
      </c>
      <c r="B192" s="75">
        <v>2174</v>
      </c>
      <c r="C192" s="75" t="s">
        <v>221</v>
      </c>
      <c r="D192" s="84">
        <v>32.83</v>
      </c>
      <c r="E192" s="75">
        <v>2</v>
      </c>
      <c r="F192" s="84">
        <f>D192*E192</f>
        <v>65.66</v>
      </c>
      <c r="G192" s="84">
        <f>F192</f>
        <v>65.66</v>
      </c>
      <c r="H192" s="237"/>
      <c r="I192" s="237"/>
      <c r="J192" s="237"/>
      <c r="K192" s="237"/>
    </row>
    <row r="193" spans="1:11" x14ac:dyDescent="0.25">
      <c r="A193" s="102" t="s">
        <v>263</v>
      </c>
      <c r="B193" s="75">
        <v>2172</v>
      </c>
      <c r="C193" s="75" t="s">
        <v>221</v>
      </c>
      <c r="D193" s="84">
        <v>27.97</v>
      </c>
      <c r="E193" s="75">
        <v>2</v>
      </c>
      <c r="F193" s="84">
        <f>D193*E193</f>
        <v>55.94</v>
      </c>
      <c r="G193" s="84">
        <f t="shared" ref="G193" si="34">F193</f>
        <v>55.94</v>
      </c>
      <c r="H193" s="237"/>
      <c r="I193" s="237"/>
      <c r="J193" s="237"/>
      <c r="K193" s="237"/>
    </row>
    <row r="194" spans="1:11" x14ac:dyDescent="0.25">
      <c r="A194" s="95" t="s">
        <v>77</v>
      </c>
      <c r="B194" s="75"/>
      <c r="C194" s="75"/>
      <c r="D194" s="94">
        <f>SUM(D195:D195)</f>
        <v>32.83</v>
      </c>
      <c r="E194" s="82">
        <f>SUM(E195:E195)</f>
        <v>3</v>
      </c>
      <c r="F194" s="94">
        <f>SUM(F195:F195)</f>
        <v>98.49</v>
      </c>
      <c r="G194" s="94">
        <f>SUM(G195:G195)</f>
        <v>98.49</v>
      </c>
      <c r="H194" s="237"/>
      <c r="I194" s="237"/>
      <c r="J194" s="237"/>
      <c r="K194" s="237"/>
    </row>
    <row r="195" spans="1:11" x14ac:dyDescent="0.25">
      <c r="A195" s="102" t="s">
        <v>286</v>
      </c>
      <c r="B195" s="75">
        <v>2174</v>
      </c>
      <c r="C195" s="75" t="s">
        <v>221</v>
      </c>
      <c r="D195" s="84">
        <v>32.83</v>
      </c>
      <c r="E195" s="75">
        <v>3</v>
      </c>
      <c r="F195" s="84">
        <f>D195*E195</f>
        <v>98.49</v>
      </c>
      <c r="G195" s="84">
        <f>F195</f>
        <v>98.49</v>
      </c>
      <c r="H195" s="237"/>
      <c r="I195" s="237"/>
      <c r="J195" s="237"/>
      <c r="K195" s="237"/>
    </row>
    <row r="196" spans="1:11" ht="30" x14ac:dyDescent="0.25">
      <c r="A196" s="80" t="s">
        <v>292</v>
      </c>
      <c r="B196" s="75"/>
      <c r="C196" s="75"/>
      <c r="D196" s="94"/>
      <c r="E196" s="82"/>
      <c r="F196" s="94">
        <f>SUM(F197:F207)</f>
        <v>7654.72</v>
      </c>
      <c r="G196" s="94">
        <f>SUM(G197:G207)</f>
        <v>7654.72</v>
      </c>
      <c r="H196" s="237"/>
      <c r="I196" s="237"/>
      <c r="J196" s="237"/>
      <c r="K196" s="237"/>
    </row>
    <row r="197" spans="1:11" x14ac:dyDescent="0.25">
      <c r="A197" s="102" t="s">
        <v>287</v>
      </c>
      <c r="B197" s="75">
        <v>894</v>
      </c>
      <c r="C197" s="75" t="s">
        <v>221</v>
      </c>
      <c r="D197" s="84">
        <v>4425</v>
      </c>
      <c r="E197" s="75">
        <v>1</v>
      </c>
      <c r="F197" s="84">
        <f>D197*E197</f>
        <v>4425</v>
      </c>
      <c r="G197" s="84">
        <f>F197</f>
        <v>4425</v>
      </c>
      <c r="H197" s="237"/>
      <c r="I197" s="237"/>
      <c r="J197" s="237"/>
      <c r="K197" s="237"/>
    </row>
    <row r="198" spans="1:11" x14ac:dyDescent="0.25">
      <c r="A198" s="102" t="s">
        <v>288</v>
      </c>
      <c r="B198" s="75">
        <v>204</v>
      </c>
      <c r="C198" s="75" t="s">
        <v>221</v>
      </c>
      <c r="D198" s="84">
        <f>832/4</f>
        <v>208</v>
      </c>
      <c r="E198" s="75">
        <v>4</v>
      </c>
      <c r="F198" s="84">
        <f t="shared" ref="F198:F202" si="35">D198*E198</f>
        <v>832</v>
      </c>
      <c r="G198" s="84">
        <f t="shared" ref="G198:G202" si="36">F198</f>
        <v>832</v>
      </c>
      <c r="H198" s="237"/>
      <c r="I198" s="237"/>
      <c r="J198" s="237"/>
      <c r="K198" s="237"/>
    </row>
    <row r="199" spans="1:11" x14ac:dyDescent="0.25">
      <c r="A199" s="102" t="s">
        <v>289</v>
      </c>
      <c r="B199" s="75">
        <v>1302</v>
      </c>
      <c r="C199" s="75" t="s">
        <v>221</v>
      </c>
      <c r="D199" s="84">
        <f>93.25/5</f>
        <v>18.649999999999999</v>
      </c>
      <c r="E199" s="75">
        <v>5</v>
      </c>
      <c r="F199" s="84">
        <f t="shared" si="35"/>
        <v>93.25</v>
      </c>
      <c r="G199" s="84">
        <f t="shared" si="36"/>
        <v>93.25</v>
      </c>
      <c r="H199" s="237"/>
      <c r="I199" s="237"/>
      <c r="J199" s="237"/>
      <c r="K199" s="237"/>
    </row>
    <row r="200" spans="1:11" x14ac:dyDescent="0.25">
      <c r="A200" s="102" t="s">
        <v>290</v>
      </c>
      <c r="B200" s="75">
        <v>1502</v>
      </c>
      <c r="C200" s="75" t="s">
        <v>221</v>
      </c>
      <c r="D200" s="84">
        <f>450/3</f>
        <v>150</v>
      </c>
      <c r="E200" s="75">
        <v>3</v>
      </c>
      <c r="F200" s="84">
        <f t="shared" si="35"/>
        <v>450</v>
      </c>
      <c r="G200" s="84">
        <f t="shared" si="36"/>
        <v>450</v>
      </c>
      <c r="H200" s="237"/>
      <c r="I200" s="237"/>
      <c r="J200" s="237"/>
      <c r="K200" s="237"/>
    </row>
    <row r="201" spans="1:11" x14ac:dyDescent="0.25">
      <c r="A201" s="102" t="s">
        <v>291</v>
      </c>
      <c r="B201" s="75">
        <v>1503</v>
      </c>
      <c r="C201" s="75" t="s">
        <v>221</v>
      </c>
      <c r="D201" s="84">
        <f>26.5/5</f>
        <v>5.3</v>
      </c>
      <c r="E201" s="75">
        <v>5</v>
      </c>
      <c r="F201" s="84">
        <f t="shared" si="35"/>
        <v>26.5</v>
      </c>
      <c r="G201" s="84">
        <f t="shared" si="36"/>
        <v>26.5</v>
      </c>
      <c r="H201" s="237"/>
      <c r="I201" s="237"/>
      <c r="J201" s="237"/>
      <c r="K201" s="237"/>
    </row>
    <row r="202" spans="1:11" x14ac:dyDescent="0.25">
      <c r="A202" s="102" t="s">
        <v>263</v>
      </c>
      <c r="B202" s="75">
        <v>2172</v>
      </c>
      <c r="C202" s="75" t="s">
        <v>221</v>
      </c>
      <c r="D202" s="84">
        <f>27.97/1</f>
        <v>27.97</v>
      </c>
      <c r="E202" s="75">
        <v>1</v>
      </c>
      <c r="F202" s="84">
        <f t="shared" si="35"/>
        <v>27.97</v>
      </c>
      <c r="G202" s="84">
        <f t="shared" si="36"/>
        <v>27.97</v>
      </c>
      <c r="H202" s="237"/>
      <c r="I202" s="237"/>
      <c r="J202" s="237"/>
      <c r="K202" s="237"/>
    </row>
    <row r="203" spans="1:11" ht="30" hidden="1" x14ac:dyDescent="0.25">
      <c r="A203" s="103" t="s">
        <v>78</v>
      </c>
      <c r="B203" s="75"/>
      <c r="C203" s="75"/>
      <c r="D203" s="94">
        <f>SUM(D204:D207)</f>
        <v>100</v>
      </c>
      <c r="E203" s="82">
        <f>SUM(E204:E207)</f>
        <v>9</v>
      </c>
      <c r="F203" s="94">
        <f>SUM(F204:F207)</f>
        <v>900</v>
      </c>
      <c r="G203" s="94">
        <f>SUM(G204:G207)</f>
        <v>900</v>
      </c>
      <c r="H203" s="237"/>
      <c r="I203" s="237"/>
      <c r="J203" s="237"/>
      <c r="K203" s="237"/>
    </row>
    <row r="204" spans="1:11" hidden="1" x14ac:dyDescent="0.25">
      <c r="A204" s="102"/>
      <c r="B204" s="75"/>
      <c r="C204" s="75"/>
      <c r="D204" s="84">
        <v>0</v>
      </c>
      <c r="E204" s="75">
        <v>0</v>
      </c>
      <c r="F204" s="84">
        <f>D204*E204</f>
        <v>0</v>
      </c>
      <c r="G204" s="84">
        <f>F204</f>
        <v>0</v>
      </c>
      <c r="H204" s="237"/>
      <c r="I204" s="237"/>
      <c r="J204" s="237"/>
      <c r="K204" s="237"/>
    </row>
    <row r="205" spans="1:11" hidden="1" x14ac:dyDescent="0.25">
      <c r="A205" s="102"/>
      <c r="B205" s="75"/>
      <c r="C205" s="75"/>
      <c r="D205" s="84">
        <v>0</v>
      </c>
      <c r="E205" s="75">
        <v>0</v>
      </c>
      <c r="F205" s="84">
        <f>D205*E205</f>
        <v>0</v>
      </c>
      <c r="G205" s="84">
        <f t="shared" ref="G205:G206" si="37">F205</f>
        <v>0</v>
      </c>
      <c r="H205" s="237"/>
      <c r="I205" s="237"/>
      <c r="J205" s="237"/>
      <c r="K205" s="237"/>
    </row>
    <row r="206" spans="1:11" hidden="1" x14ac:dyDescent="0.25">
      <c r="A206" s="102"/>
      <c r="B206" s="75"/>
      <c r="C206" s="75"/>
      <c r="D206" s="84">
        <v>0</v>
      </c>
      <c r="E206" s="75">
        <v>0</v>
      </c>
      <c r="F206" s="84">
        <v>0</v>
      </c>
      <c r="G206" s="84">
        <f t="shared" si="37"/>
        <v>0</v>
      </c>
      <c r="H206" s="237"/>
      <c r="I206" s="237"/>
      <c r="J206" s="237"/>
      <c r="K206" s="237"/>
    </row>
    <row r="207" spans="1:11" x14ac:dyDescent="0.25">
      <c r="A207" s="102" t="s">
        <v>222</v>
      </c>
      <c r="B207" s="75">
        <v>972</v>
      </c>
      <c r="C207" s="75" t="s">
        <v>221</v>
      </c>
      <c r="D207" s="84">
        <v>100</v>
      </c>
      <c r="E207" s="75">
        <v>9</v>
      </c>
      <c r="F207" s="84">
        <f>D207*E207</f>
        <v>900</v>
      </c>
      <c r="G207" s="84">
        <f>F207</f>
        <v>900</v>
      </c>
      <c r="H207" s="237"/>
      <c r="I207" s="237"/>
      <c r="J207" s="237"/>
      <c r="K207" s="237"/>
    </row>
    <row r="208" spans="1:11" ht="30" x14ac:dyDescent="0.25">
      <c r="A208" s="80" t="s">
        <v>78</v>
      </c>
      <c r="B208" s="75"/>
      <c r="C208" s="75"/>
      <c r="D208" s="94"/>
      <c r="E208" s="82"/>
      <c r="F208" s="94">
        <f>SUM(F209:F210)</f>
        <v>432.83</v>
      </c>
      <c r="G208" s="94">
        <f>SUM(G209:G210)</f>
        <v>432.83</v>
      </c>
      <c r="H208" s="237"/>
      <c r="I208" s="237"/>
      <c r="J208" s="237"/>
      <c r="K208" s="237"/>
    </row>
    <row r="209" spans="1:11" x14ac:dyDescent="0.25">
      <c r="A209" s="102" t="s">
        <v>222</v>
      </c>
      <c r="B209" s="75">
        <v>972</v>
      </c>
      <c r="C209" s="75" t="s">
        <v>221</v>
      </c>
      <c r="D209" s="84">
        <v>100</v>
      </c>
      <c r="E209" s="75">
        <v>4</v>
      </c>
      <c r="F209" s="84">
        <f>D209*E209</f>
        <v>400</v>
      </c>
      <c r="G209" s="84">
        <f>F209</f>
        <v>400</v>
      </c>
      <c r="H209" s="237"/>
      <c r="I209" s="237"/>
      <c r="J209" s="237"/>
      <c r="K209" s="237"/>
    </row>
    <row r="210" spans="1:11" x14ac:dyDescent="0.25">
      <c r="A210" s="102" t="s">
        <v>267</v>
      </c>
      <c r="B210" s="75">
        <v>2174</v>
      </c>
      <c r="C210" s="75" t="s">
        <v>221</v>
      </c>
      <c r="D210" s="84">
        <v>32.83</v>
      </c>
      <c r="E210" s="75">
        <v>1</v>
      </c>
      <c r="F210" s="84">
        <f>D210*E210</f>
        <v>32.83</v>
      </c>
      <c r="G210" s="84">
        <f>F210</f>
        <v>32.83</v>
      </c>
      <c r="H210" s="237"/>
      <c r="I210" s="237"/>
      <c r="J210" s="237"/>
      <c r="K210" s="237"/>
    </row>
    <row r="211" spans="1:11" ht="30" x14ac:dyDescent="0.25">
      <c r="A211" s="103" t="s">
        <v>79</v>
      </c>
      <c r="B211" s="75"/>
      <c r="C211" s="75"/>
      <c r="D211" s="94"/>
      <c r="E211" s="82"/>
      <c r="F211" s="94">
        <f>SUM(F212:F214)</f>
        <v>6927.97</v>
      </c>
      <c r="G211" s="94">
        <f>SUM(G212:G214)</f>
        <v>6927.97</v>
      </c>
      <c r="H211" s="237"/>
      <c r="I211" s="237"/>
      <c r="J211" s="237"/>
      <c r="K211" s="237"/>
    </row>
    <row r="212" spans="1:11" x14ac:dyDescent="0.25">
      <c r="A212" s="102" t="s">
        <v>293</v>
      </c>
      <c r="B212" s="75">
        <v>1667</v>
      </c>
      <c r="C212" s="75" t="s">
        <v>221</v>
      </c>
      <c r="D212" s="84">
        <v>2000</v>
      </c>
      <c r="E212" s="75">
        <v>3</v>
      </c>
      <c r="F212" s="84">
        <f>D212*E212</f>
        <v>6000</v>
      </c>
      <c r="G212" s="84">
        <f>F212</f>
        <v>6000</v>
      </c>
      <c r="H212" s="237"/>
      <c r="I212" s="237"/>
      <c r="J212" s="237"/>
      <c r="K212" s="237"/>
    </row>
    <row r="213" spans="1:11" x14ac:dyDescent="0.25">
      <c r="A213" s="102" t="s">
        <v>222</v>
      </c>
      <c r="B213" s="75">
        <v>972</v>
      </c>
      <c r="C213" s="75" t="s">
        <v>221</v>
      </c>
      <c r="D213" s="84">
        <v>100</v>
      </c>
      <c r="E213" s="75">
        <v>9</v>
      </c>
      <c r="F213" s="84">
        <f>D213*E213</f>
        <v>900</v>
      </c>
      <c r="G213" s="84">
        <f>F213</f>
        <v>900</v>
      </c>
      <c r="H213" s="237"/>
      <c r="I213" s="237"/>
      <c r="J213" s="237"/>
      <c r="K213" s="237"/>
    </row>
    <row r="214" spans="1:11" x14ac:dyDescent="0.25">
      <c r="A214" s="102" t="s">
        <v>263</v>
      </c>
      <c r="B214" s="75">
        <v>2172</v>
      </c>
      <c r="C214" s="75" t="s">
        <v>221</v>
      </c>
      <c r="D214" s="84">
        <f>27.97/1</f>
        <v>27.97</v>
      </c>
      <c r="E214" s="75">
        <v>1</v>
      </c>
      <c r="F214" s="84">
        <f t="shared" ref="F214" si="38">D214*E214</f>
        <v>27.97</v>
      </c>
      <c r="G214" s="84">
        <f t="shared" ref="G214" si="39">F214</f>
        <v>27.97</v>
      </c>
      <c r="H214" s="237"/>
      <c r="I214" s="237"/>
      <c r="J214" s="237"/>
      <c r="K214" s="237"/>
    </row>
    <row r="215" spans="1:11" ht="45" x14ac:dyDescent="0.25">
      <c r="A215" s="103" t="s">
        <v>80</v>
      </c>
      <c r="B215" s="75"/>
      <c r="C215" s="75"/>
      <c r="D215" s="94">
        <f>SUM(D216:D217)</f>
        <v>60.8</v>
      </c>
      <c r="E215" s="82">
        <f>SUM(E216:E217)</f>
        <v>2</v>
      </c>
      <c r="F215" s="94">
        <f>SUM(F216:F217)</f>
        <v>60.8</v>
      </c>
      <c r="G215" s="94">
        <f>SUM(G216:G217)</f>
        <v>60.8</v>
      </c>
      <c r="H215" s="237"/>
      <c r="I215" s="237"/>
      <c r="J215" s="237"/>
      <c r="K215" s="237"/>
    </row>
    <row r="216" spans="1:11" x14ac:dyDescent="0.25">
      <c r="A216" s="102" t="s">
        <v>267</v>
      </c>
      <c r="B216" s="75">
        <v>2174</v>
      </c>
      <c r="C216" s="75" t="s">
        <v>221</v>
      </c>
      <c r="D216" s="84">
        <v>32.83</v>
      </c>
      <c r="E216" s="75">
        <v>1</v>
      </c>
      <c r="F216" s="84">
        <f>D216*E216</f>
        <v>32.83</v>
      </c>
      <c r="G216" s="84">
        <f>F216</f>
        <v>32.83</v>
      </c>
      <c r="H216" s="237"/>
      <c r="I216" s="237"/>
      <c r="J216" s="237"/>
      <c r="K216" s="237"/>
    </row>
    <row r="217" spans="1:11" x14ac:dyDescent="0.25">
      <c r="A217" s="102" t="s">
        <v>263</v>
      </c>
      <c r="B217" s="75">
        <v>2172</v>
      </c>
      <c r="C217" s="75" t="s">
        <v>221</v>
      </c>
      <c r="D217" s="84">
        <v>27.97</v>
      </c>
      <c r="E217" s="75">
        <v>1</v>
      </c>
      <c r="F217" s="84">
        <f>D217*E217</f>
        <v>27.97</v>
      </c>
      <c r="G217" s="84">
        <f t="shared" ref="G217" si="40">F217</f>
        <v>27.97</v>
      </c>
      <c r="H217" s="237"/>
      <c r="I217" s="237"/>
      <c r="J217" s="237"/>
      <c r="K217" s="237"/>
    </row>
    <row r="218" spans="1:11" ht="30" x14ac:dyDescent="0.25">
      <c r="A218" s="103" t="s">
        <v>81</v>
      </c>
      <c r="B218" s="75"/>
      <c r="C218" s="75"/>
      <c r="D218" s="94">
        <f>SUM(D219:D219)</f>
        <v>100</v>
      </c>
      <c r="E218" s="82">
        <f>SUM(E219:E219)</f>
        <v>30</v>
      </c>
      <c r="F218" s="94">
        <f>SUM(F219:F219)</f>
        <v>3000</v>
      </c>
      <c r="G218" s="94">
        <f>SUM(G219:G219)</f>
        <v>3000</v>
      </c>
      <c r="H218" s="237"/>
      <c r="I218" s="237"/>
      <c r="J218" s="237"/>
      <c r="K218" s="237"/>
    </row>
    <row r="219" spans="1:11" x14ac:dyDescent="0.25">
      <c r="A219" s="102" t="s">
        <v>222</v>
      </c>
      <c r="B219" s="75">
        <v>972</v>
      </c>
      <c r="C219" s="75" t="s">
        <v>221</v>
      </c>
      <c r="D219" s="84">
        <v>100</v>
      </c>
      <c r="E219" s="75">
        <v>30</v>
      </c>
      <c r="F219" s="84">
        <f>D219*E219</f>
        <v>3000</v>
      </c>
      <c r="G219" s="84">
        <f>F219</f>
        <v>3000</v>
      </c>
      <c r="H219" s="237"/>
      <c r="I219" s="237"/>
      <c r="J219" s="237"/>
      <c r="K219" s="237"/>
    </row>
    <row r="220" spans="1:11" ht="30" x14ac:dyDescent="0.25">
      <c r="A220" s="103" t="s">
        <v>82</v>
      </c>
      <c r="B220" s="75"/>
      <c r="C220" s="75"/>
      <c r="D220" s="94">
        <f>SUM(D221:D222)</f>
        <v>60.8</v>
      </c>
      <c r="E220" s="82">
        <f>SUM(E221:E222)</f>
        <v>2</v>
      </c>
      <c r="F220" s="94">
        <f>SUM(F221:F222)</f>
        <v>60.8</v>
      </c>
      <c r="G220" s="94">
        <f>SUM(G221:G222)</f>
        <v>60.8</v>
      </c>
      <c r="H220" s="237"/>
      <c r="I220" s="237"/>
      <c r="J220" s="237"/>
      <c r="K220" s="237"/>
    </row>
    <row r="221" spans="1:11" x14ac:dyDescent="0.25">
      <c r="A221" s="102" t="s">
        <v>267</v>
      </c>
      <c r="B221" s="75">
        <v>2174</v>
      </c>
      <c r="C221" s="75" t="s">
        <v>221</v>
      </c>
      <c r="D221" s="84">
        <v>32.83</v>
      </c>
      <c r="E221" s="75">
        <v>1</v>
      </c>
      <c r="F221" s="84">
        <f>D221*E221</f>
        <v>32.83</v>
      </c>
      <c r="G221" s="84">
        <f>F221</f>
        <v>32.83</v>
      </c>
      <c r="H221" s="237"/>
      <c r="I221" s="237"/>
      <c r="J221" s="237"/>
      <c r="K221" s="237"/>
    </row>
    <row r="222" spans="1:11" x14ac:dyDescent="0.25">
      <c r="A222" s="102" t="s">
        <v>263</v>
      </c>
      <c r="B222" s="75">
        <v>2172</v>
      </c>
      <c r="C222" s="75" t="s">
        <v>221</v>
      </c>
      <c r="D222" s="84">
        <v>27.97</v>
      </c>
      <c r="E222" s="75">
        <v>1</v>
      </c>
      <c r="F222" s="84">
        <f>D222*E222</f>
        <v>27.97</v>
      </c>
      <c r="G222" s="84">
        <f t="shared" ref="G222" si="41">F222</f>
        <v>27.97</v>
      </c>
      <c r="H222" s="237"/>
      <c r="I222" s="237"/>
      <c r="J222" s="237"/>
      <c r="K222" s="237"/>
    </row>
    <row r="223" spans="1:11" ht="30" x14ac:dyDescent="0.25">
      <c r="A223" s="103" t="s">
        <v>83</v>
      </c>
      <c r="B223" s="75"/>
      <c r="C223" s="75"/>
      <c r="D223" s="94">
        <f>SUM(D224:D225)</f>
        <v>127.97</v>
      </c>
      <c r="E223" s="82">
        <f>SUM(E224:E225)</f>
        <v>16</v>
      </c>
      <c r="F223" s="94">
        <f>SUM(F224:F225)</f>
        <v>1527.97</v>
      </c>
      <c r="G223" s="94">
        <f>SUM(G224:G225)</f>
        <v>1527.97</v>
      </c>
      <c r="H223" s="237"/>
      <c r="I223" s="237"/>
      <c r="J223" s="237"/>
      <c r="K223" s="237"/>
    </row>
    <row r="224" spans="1:11" x14ac:dyDescent="0.25">
      <c r="A224" s="102" t="s">
        <v>222</v>
      </c>
      <c r="B224" s="75">
        <v>972</v>
      </c>
      <c r="C224" s="75" t="s">
        <v>221</v>
      </c>
      <c r="D224" s="84">
        <v>100</v>
      </c>
      <c r="E224" s="75">
        <v>15</v>
      </c>
      <c r="F224" s="84">
        <f>D224*E224</f>
        <v>1500</v>
      </c>
      <c r="G224" s="84">
        <f>F224</f>
        <v>1500</v>
      </c>
      <c r="H224" s="237"/>
      <c r="I224" s="237"/>
      <c r="J224" s="237"/>
      <c r="K224" s="237"/>
    </row>
    <row r="225" spans="1:11" x14ac:dyDescent="0.25">
      <c r="A225" s="102" t="s">
        <v>263</v>
      </c>
      <c r="B225" s="75">
        <v>2172</v>
      </c>
      <c r="C225" s="75" t="s">
        <v>221</v>
      </c>
      <c r="D225" s="84">
        <v>27.97</v>
      </c>
      <c r="E225" s="75">
        <v>1</v>
      </c>
      <c r="F225" s="84">
        <f>D225*E225</f>
        <v>27.97</v>
      </c>
      <c r="G225" s="84">
        <f t="shared" ref="G225" si="42">F225</f>
        <v>27.97</v>
      </c>
      <c r="H225" s="237"/>
      <c r="I225" s="237"/>
      <c r="J225" s="237"/>
      <c r="K225" s="237"/>
    </row>
    <row r="226" spans="1:11" x14ac:dyDescent="0.25">
      <c r="A226" s="103" t="s">
        <v>84</v>
      </c>
      <c r="B226" s="75"/>
      <c r="C226" s="75"/>
      <c r="D226" s="94">
        <f>SUM(D227:D227)</f>
        <v>32.83</v>
      </c>
      <c r="E226" s="82">
        <f>SUM(E227:E227)</f>
        <v>2</v>
      </c>
      <c r="F226" s="94">
        <f>SUM(F227:F227)</f>
        <v>65.66</v>
      </c>
      <c r="G226" s="94">
        <f>SUM(G227:G227)</f>
        <v>65.66</v>
      </c>
      <c r="H226" s="237"/>
      <c r="I226" s="237"/>
      <c r="J226" s="237"/>
      <c r="K226" s="237"/>
    </row>
    <row r="227" spans="1:11" x14ac:dyDescent="0.25">
      <c r="A227" s="102" t="s">
        <v>267</v>
      </c>
      <c r="B227" s="75">
        <v>2174</v>
      </c>
      <c r="C227" s="75" t="s">
        <v>221</v>
      </c>
      <c r="D227" s="84">
        <v>32.83</v>
      </c>
      <c r="E227" s="75">
        <v>2</v>
      </c>
      <c r="F227" s="84">
        <f>D227*E227</f>
        <v>65.66</v>
      </c>
      <c r="G227" s="84">
        <f>F227</f>
        <v>65.66</v>
      </c>
      <c r="H227" s="237"/>
      <c r="I227" s="237"/>
      <c r="J227" s="237"/>
      <c r="K227" s="237"/>
    </row>
    <row r="228" spans="1:11" ht="30" x14ac:dyDescent="0.25">
      <c r="A228" s="103" t="s">
        <v>85</v>
      </c>
      <c r="B228" s="75"/>
      <c r="C228" s="75"/>
      <c r="D228" s="94">
        <f>SUM(D229:D229)</f>
        <v>100</v>
      </c>
      <c r="E228" s="82">
        <f>SUM(E229:E229)</f>
        <v>6</v>
      </c>
      <c r="F228" s="94">
        <f>SUM(F229:F229)</f>
        <v>600</v>
      </c>
      <c r="G228" s="94">
        <f>SUM(G229:G230)</f>
        <v>632.83000000000004</v>
      </c>
      <c r="H228" s="237"/>
      <c r="I228" s="237"/>
      <c r="J228" s="237"/>
      <c r="K228" s="237"/>
    </row>
    <row r="229" spans="1:11" x14ac:dyDescent="0.25">
      <c r="A229" s="102" t="s">
        <v>222</v>
      </c>
      <c r="B229" s="75">
        <v>972</v>
      </c>
      <c r="C229" s="75" t="s">
        <v>221</v>
      </c>
      <c r="D229" s="84">
        <v>100</v>
      </c>
      <c r="E229" s="75">
        <v>6</v>
      </c>
      <c r="F229" s="84">
        <f>D229*E229</f>
        <v>600</v>
      </c>
      <c r="G229" s="84">
        <f>F229</f>
        <v>600</v>
      </c>
      <c r="H229" s="237"/>
      <c r="I229" s="237"/>
      <c r="J229" s="237"/>
      <c r="K229" s="237"/>
    </row>
    <row r="230" spans="1:11" x14ac:dyDescent="0.25">
      <c r="A230" s="102" t="s">
        <v>267</v>
      </c>
      <c r="B230" s="75">
        <v>2174</v>
      </c>
      <c r="C230" s="75" t="s">
        <v>221</v>
      </c>
      <c r="D230" s="84">
        <v>32.83</v>
      </c>
      <c r="E230" s="75">
        <v>1</v>
      </c>
      <c r="F230" s="84">
        <f>D230*E230</f>
        <v>32.83</v>
      </c>
      <c r="G230" s="84">
        <f>F230</f>
        <v>32.83</v>
      </c>
      <c r="H230" s="237"/>
      <c r="I230" s="237"/>
      <c r="J230" s="237"/>
      <c r="K230" s="237"/>
    </row>
    <row r="231" spans="1:11" ht="30" x14ac:dyDescent="0.25">
      <c r="A231" s="103" t="s">
        <v>86</v>
      </c>
      <c r="B231" s="75"/>
      <c r="C231" s="75"/>
      <c r="D231" s="94">
        <f>SUM(D232:D232)</f>
        <v>100</v>
      </c>
      <c r="E231" s="82">
        <f>SUM(E232:E232)</f>
        <v>15</v>
      </c>
      <c r="F231" s="94">
        <f>SUM(F232:F232)</f>
        <v>1500</v>
      </c>
      <c r="G231" s="94">
        <f>SUM(G232:G232)</f>
        <v>1500</v>
      </c>
      <c r="H231" s="237"/>
      <c r="I231" s="237"/>
      <c r="J231" s="237"/>
      <c r="K231" s="237"/>
    </row>
    <row r="232" spans="1:11" ht="19.5" customHeight="1" x14ac:dyDescent="0.25">
      <c r="A232" s="75" t="s">
        <v>222</v>
      </c>
      <c r="B232" s="75">
        <v>972</v>
      </c>
      <c r="C232" s="75" t="s">
        <v>221</v>
      </c>
      <c r="D232" s="84">
        <v>100</v>
      </c>
      <c r="E232" s="75">
        <v>15</v>
      </c>
      <c r="F232" s="84">
        <f>D232*E232</f>
        <v>1500</v>
      </c>
      <c r="G232" s="84">
        <f>F232</f>
        <v>1500</v>
      </c>
      <c r="H232" s="240"/>
      <c r="I232" s="243"/>
      <c r="J232" s="237"/>
      <c r="K232" s="237"/>
    </row>
    <row r="233" spans="1:11" x14ac:dyDescent="0.25">
      <c r="H233" s="237"/>
      <c r="I233" s="237"/>
      <c r="J233" s="237"/>
      <c r="K233" s="237"/>
    </row>
    <row r="234" spans="1:11" x14ac:dyDescent="0.25">
      <c r="A234" s="423" t="s">
        <v>213</v>
      </c>
      <c r="B234" s="423"/>
      <c r="C234" s="423"/>
      <c r="D234" s="423"/>
      <c r="E234" s="423"/>
      <c r="F234" s="423"/>
      <c r="G234" s="423"/>
      <c r="H234" s="237"/>
      <c r="I234" s="237"/>
      <c r="J234" s="237"/>
      <c r="K234" s="237"/>
    </row>
    <row r="235" spans="1:11" x14ac:dyDescent="0.25">
      <c r="A235" s="64" t="s">
        <v>207</v>
      </c>
      <c r="H235" s="237"/>
      <c r="I235" s="237"/>
      <c r="J235" s="237"/>
      <c r="K235" s="237"/>
    </row>
    <row r="236" spans="1:11" ht="30" x14ac:dyDescent="0.25">
      <c r="A236" s="99" t="s">
        <v>123</v>
      </c>
      <c r="B236" s="75"/>
      <c r="C236" s="75"/>
      <c r="D236" s="94">
        <f>SUM(D237:D258)</f>
        <v>456.55999999999995</v>
      </c>
      <c r="E236" s="82">
        <f>SUM(E237:E258)</f>
        <v>21012</v>
      </c>
      <c r="F236" s="94">
        <f>SUM(F237:F258)</f>
        <v>357760</v>
      </c>
      <c r="G236" s="94">
        <f>SUM(G237:G258)</f>
        <v>357760</v>
      </c>
      <c r="H236" s="237"/>
      <c r="I236" s="237"/>
      <c r="J236" s="237"/>
      <c r="K236" s="237"/>
    </row>
    <row r="237" spans="1:11" x14ac:dyDescent="0.25">
      <c r="A237" s="75" t="s">
        <v>222</v>
      </c>
      <c r="B237" s="75">
        <v>972</v>
      </c>
      <c r="C237" s="75" t="s">
        <v>221</v>
      </c>
      <c r="D237" s="84">
        <v>100</v>
      </c>
      <c r="E237" s="75">
        <v>12</v>
      </c>
      <c r="F237" s="84">
        <f>D237*E237</f>
        <v>1200</v>
      </c>
      <c r="G237" s="84">
        <f>F237</f>
        <v>1200</v>
      </c>
      <c r="H237" s="237"/>
      <c r="I237" s="237"/>
      <c r="J237" s="237"/>
      <c r="K237" s="237"/>
    </row>
    <row r="238" spans="1:11" x14ac:dyDescent="0.25">
      <c r="A238" s="75" t="s">
        <v>252</v>
      </c>
      <c r="B238" s="75">
        <v>356</v>
      </c>
      <c r="C238" s="75" t="s">
        <v>221</v>
      </c>
      <c r="D238" s="84">
        <f>580/1000</f>
        <v>0.57999999999999996</v>
      </c>
      <c r="E238" s="75">
        <v>1000</v>
      </c>
      <c r="F238" s="84">
        <f t="shared" ref="F238:F258" si="43">D238*E238</f>
        <v>580</v>
      </c>
      <c r="G238" s="84">
        <f t="shared" ref="G238:G258" si="44">F238</f>
        <v>580</v>
      </c>
      <c r="H238" s="237"/>
      <c r="I238" s="237"/>
      <c r="J238" s="237"/>
      <c r="K238" s="237"/>
    </row>
    <row r="239" spans="1:11" x14ac:dyDescent="0.25">
      <c r="A239" s="75" t="s">
        <v>294</v>
      </c>
      <c r="B239" s="75">
        <v>493</v>
      </c>
      <c r="C239" s="75" t="s">
        <v>221</v>
      </c>
      <c r="D239" s="84">
        <f>19000/1000</f>
        <v>19</v>
      </c>
      <c r="E239" s="75">
        <v>1000</v>
      </c>
      <c r="F239" s="84">
        <f t="shared" si="43"/>
        <v>19000</v>
      </c>
      <c r="G239" s="84">
        <f t="shared" si="44"/>
        <v>19000</v>
      </c>
      <c r="H239" s="237"/>
      <c r="I239" s="237"/>
      <c r="J239" s="237"/>
      <c r="K239" s="237"/>
    </row>
    <row r="240" spans="1:11" x14ac:dyDescent="0.25">
      <c r="A240" s="75" t="s">
        <v>295</v>
      </c>
      <c r="B240" s="75">
        <v>20</v>
      </c>
      <c r="C240" s="75" t="s">
        <v>221</v>
      </c>
      <c r="D240" s="84">
        <f>55000/1000</f>
        <v>55</v>
      </c>
      <c r="E240" s="75">
        <v>1000</v>
      </c>
      <c r="F240" s="84">
        <f t="shared" si="43"/>
        <v>55000</v>
      </c>
      <c r="G240" s="84">
        <f t="shared" si="44"/>
        <v>55000</v>
      </c>
      <c r="H240" s="237"/>
      <c r="I240" s="237"/>
      <c r="J240" s="237"/>
      <c r="K240" s="237"/>
    </row>
    <row r="241" spans="1:11" x14ac:dyDescent="0.25">
      <c r="A241" s="75" t="s">
        <v>296</v>
      </c>
      <c r="B241" s="75">
        <v>71</v>
      </c>
      <c r="C241" s="75" t="s">
        <v>221</v>
      </c>
      <c r="D241" s="84">
        <f>4650/1000</f>
        <v>4.6500000000000004</v>
      </c>
      <c r="E241" s="75">
        <v>1000</v>
      </c>
      <c r="F241" s="84">
        <f t="shared" si="43"/>
        <v>4650</v>
      </c>
      <c r="G241" s="84">
        <f t="shared" si="44"/>
        <v>4650</v>
      </c>
      <c r="H241" s="237"/>
      <c r="I241" s="237"/>
      <c r="J241" s="237"/>
      <c r="K241" s="237"/>
    </row>
    <row r="242" spans="1:11" x14ac:dyDescent="0.25">
      <c r="A242" s="75" t="s">
        <v>297</v>
      </c>
      <c r="B242" s="75">
        <v>174</v>
      </c>
      <c r="C242" s="75" t="s">
        <v>221</v>
      </c>
      <c r="D242" s="84">
        <f>7000/E242</f>
        <v>7</v>
      </c>
      <c r="E242" s="75">
        <v>1000</v>
      </c>
      <c r="F242" s="84">
        <f t="shared" si="43"/>
        <v>7000</v>
      </c>
      <c r="G242" s="84">
        <f t="shared" si="44"/>
        <v>7000</v>
      </c>
      <c r="H242" s="237"/>
      <c r="I242" s="237"/>
      <c r="J242" s="237"/>
      <c r="K242" s="237"/>
    </row>
    <row r="243" spans="1:11" x14ac:dyDescent="0.25">
      <c r="A243" s="75" t="s">
        <v>254</v>
      </c>
      <c r="B243" s="75">
        <v>177</v>
      </c>
      <c r="C243" s="75" t="s">
        <v>221</v>
      </c>
      <c r="D243" s="84">
        <f>12490/1000</f>
        <v>12.49</v>
      </c>
      <c r="E243" s="75">
        <v>1000</v>
      </c>
      <c r="F243" s="84">
        <f t="shared" si="43"/>
        <v>12490</v>
      </c>
      <c r="G243" s="84">
        <f t="shared" si="44"/>
        <v>12490</v>
      </c>
      <c r="H243" s="237"/>
      <c r="I243" s="237"/>
      <c r="J243" s="237"/>
      <c r="K243" s="237"/>
    </row>
    <row r="244" spans="1:11" x14ac:dyDescent="0.25">
      <c r="A244" s="75" t="s">
        <v>298</v>
      </c>
      <c r="B244" s="75">
        <v>179</v>
      </c>
      <c r="C244" s="75" t="s">
        <v>221</v>
      </c>
      <c r="D244" s="84">
        <f>4500/1000</f>
        <v>4.5</v>
      </c>
      <c r="E244" s="75">
        <v>1000</v>
      </c>
      <c r="F244" s="84">
        <f t="shared" si="43"/>
        <v>4500</v>
      </c>
      <c r="G244" s="84">
        <f t="shared" si="44"/>
        <v>4500</v>
      </c>
      <c r="H244" s="237"/>
      <c r="I244" s="237"/>
      <c r="J244" s="237"/>
      <c r="K244" s="237"/>
    </row>
    <row r="245" spans="1:11" x14ac:dyDescent="0.25">
      <c r="A245" s="75" t="s">
        <v>299</v>
      </c>
      <c r="B245" s="75">
        <v>192</v>
      </c>
      <c r="C245" s="75" t="s">
        <v>221</v>
      </c>
      <c r="D245" s="84">
        <f>18440/1000</f>
        <v>18.440000000000001</v>
      </c>
      <c r="E245" s="75">
        <v>1000</v>
      </c>
      <c r="F245" s="84">
        <f t="shared" si="43"/>
        <v>18440</v>
      </c>
      <c r="G245" s="84">
        <f t="shared" si="44"/>
        <v>18440</v>
      </c>
      <c r="H245" s="237"/>
      <c r="I245" s="237"/>
      <c r="J245" s="237"/>
      <c r="K245" s="237"/>
    </row>
    <row r="246" spans="1:11" x14ac:dyDescent="0.25">
      <c r="A246" s="75" t="s">
        <v>300</v>
      </c>
      <c r="B246" s="75">
        <v>218</v>
      </c>
      <c r="C246" s="75" t="s">
        <v>221</v>
      </c>
      <c r="D246" s="84">
        <f>27450/1000</f>
        <v>27.45</v>
      </c>
      <c r="E246" s="75">
        <v>1000</v>
      </c>
      <c r="F246" s="84">
        <f t="shared" si="43"/>
        <v>27450</v>
      </c>
      <c r="G246" s="84">
        <f t="shared" si="44"/>
        <v>27450</v>
      </c>
      <c r="H246" s="237"/>
      <c r="I246" s="237"/>
      <c r="J246" s="237"/>
      <c r="K246" s="237"/>
    </row>
    <row r="247" spans="1:11" x14ac:dyDescent="0.25">
      <c r="A247" s="75" t="s">
        <v>301</v>
      </c>
      <c r="B247" s="75">
        <v>899</v>
      </c>
      <c r="C247" s="75" t="s">
        <v>221</v>
      </c>
      <c r="D247" s="84">
        <f>5900/1000</f>
        <v>5.9</v>
      </c>
      <c r="E247" s="75">
        <v>1000</v>
      </c>
      <c r="F247" s="84">
        <f t="shared" si="43"/>
        <v>5900</v>
      </c>
      <c r="G247" s="84">
        <f t="shared" si="44"/>
        <v>5900</v>
      </c>
      <c r="H247" s="237"/>
      <c r="I247" s="237"/>
      <c r="J247" s="237"/>
      <c r="K247" s="237"/>
    </row>
    <row r="248" spans="1:11" x14ac:dyDescent="0.25">
      <c r="A248" s="75" t="s">
        <v>302</v>
      </c>
      <c r="B248" s="75">
        <v>1158</v>
      </c>
      <c r="C248" s="75" t="s">
        <v>221</v>
      </c>
      <c r="D248" s="84">
        <f>1950/1000</f>
        <v>1.95</v>
      </c>
      <c r="E248" s="75">
        <v>1000</v>
      </c>
      <c r="F248" s="84">
        <f t="shared" si="43"/>
        <v>1950</v>
      </c>
      <c r="G248" s="84">
        <f t="shared" si="44"/>
        <v>1950</v>
      </c>
      <c r="H248" s="237"/>
      <c r="I248" s="237"/>
      <c r="J248" s="237"/>
      <c r="K248" s="237"/>
    </row>
    <row r="249" spans="1:11" x14ac:dyDescent="0.25">
      <c r="A249" s="75" t="s">
        <v>303</v>
      </c>
      <c r="B249" s="75">
        <v>1334</v>
      </c>
      <c r="C249" s="75" t="s">
        <v>221</v>
      </c>
      <c r="D249" s="84">
        <f>3250/1000</f>
        <v>3.25</v>
      </c>
      <c r="E249" s="75">
        <v>1000</v>
      </c>
      <c r="F249" s="84">
        <f t="shared" si="43"/>
        <v>3250</v>
      </c>
      <c r="G249" s="84">
        <f t="shared" si="44"/>
        <v>3250</v>
      </c>
      <c r="H249" s="237"/>
      <c r="I249" s="237"/>
      <c r="J249" s="237"/>
      <c r="K249" s="237"/>
    </row>
    <row r="250" spans="1:11" x14ac:dyDescent="0.25">
      <c r="A250" s="75" t="s">
        <v>304</v>
      </c>
      <c r="B250" s="75">
        <v>1385</v>
      </c>
      <c r="C250" s="75" t="s">
        <v>221</v>
      </c>
      <c r="D250" s="84">
        <f>1250/1000</f>
        <v>1.25</v>
      </c>
      <c r="E250" s="75">
        <v>1000</v>
      </c>
      <c r="F250" s="84">
        <f t="shared" si="43"/>
        <v>1250</v>
      </c>
      <c r="G250" s="84">
        <f t="shared" si="44"/>
        <v>1250</v>
      </c>
      <c r="H250" s="237"/>
      <c r="I250" s="237"/>
      <c r="J250" s="237"/>
      <c r="K250" s="237"/>
    </row>
    <row r="251" spans="1:11" x14ac:dyDescent="0.25">
      <c r="A251" s="75" t="s">
        <v>305</v>
      </c>
      <c r="B251" s="75">
        <v>1526</v>
      </c>
      <c r="C251" s="75" t="s">
        <v>221</v>
      </c>
      <c r="D251" s="84">
        <f>6000/1000</f>
        <v>6</v>
      </c>
      <c r="E251" s="75">
        <v>1000</v>
      </c>
      <c r="F251" s="84">
        <f t="shared" si="43"/>
        <v>6000</v>
      </c>
      <c r="G251" s="84">
        <f t="shared" si="44"/>
        <v>6000</v>
      </c>
      <c r="H251" s="237"/>
      <c r="I251" s="237"/>
      <c r="J251" s="237"/>
      <c r="K251" s="237"/>
    </row>
    <row r="252" spans="1:11" x14ac:dyDescent="0.25">
      <c r="A252" s="75" t="s">
        <v>306</v>
      </c>
      <c r="B252" s="75">
        <v>2447</v>
      </c>
      <c r="C252" s="75" t="s">
        <v>221</v>
      </c>
      <c r="D252" s="84">
        <f>110000/1000</f>
        <v>110</v>
      </c>
      <c r="E252" s="75">
        <v>1000</v>
      </c>
      <c r="F252" s="84">
        <f t="shared" si="43"/>
        <v>110000</v>
      </c>
      <c r="G252" s="84">
        <f t="shared" si="44"/>
        <v>110000</v>
      </c>
      <c r="H252" s="237"/>
      <c r="I252" s="237"/>
      <c r="J252" s="237"/>
      <c r="K252" s="237"/>
    </row>
    <row r="253" spans="1:11" x14ac:dyDescent="0.25">
      <c r="A253" s="75" t="s">
        <v>307</v>
      </c>
      <c r="B253" s="75">
        <v>1575</v>
      </c>
      <c r="C253" s="75" t="s">
        <v>221</v>
      </c>
      <c r="D253" s="84">
        <f>41150/1000</f>
        <v>41.15</v>
      </c>
      <c r="E253" s="75">
        <v>1000</v>
      </c>
      <c r="F253" s="84">
        <f t="shared" si="43"/>
        <v>41150</v>
      </c>
      <c r="G253" s="84">
        <f t="shared" si="44"/>
        <v>41150</v>
      </c>
      <c r="H253" s="237"/>
      <c r="I253" s="237"/>
      <c r="J253" s="237"/>
      <c r="K253" s="237"/>
    </row>
    <row r="254" spans="1:11" x14ac:dyDescent="0.25">
      <c r="A254" s="75" t="s">
        <v>308</v>
      </c>
      <c r="B254" s="75">
        <v>1684</v>
      </c>
      <c r="C254" s="75" t="s">
        <v>221</v>
      </c>
      <c r="D254" s="84">
        <f>2500/1000</f>
        <v>2.5</v>
      </c>
      <c r="E254" s="75">
        <v>1000</v>
      </c>
      <c r="F254" s="84">
        <f t="shared" si="43"/>
        <v>2500</v>
      </c>
      <c r="G254" s="84">
        <f t="shared" si="44"/>
        <v>2500</v>
      </c>
      <c r="H254" s="237"/>
      <c r="I254" s="237"/>
      <c r="J254" s="237"/>
      <c r="K254" s="237"/>
    </row>
    <row r="255" spans="1:11" x14ac:dyDescent="0.25">
      <c r="A255" s="75" t="s">
        <v>309</v>
      </c>
      <c r="B255" s="75">
        <v>2596</v>
      </c>
      <c r="C255" s="75" t="s">
        <v>221</v>
      </c>
      <c r="D255" s="84">
        <f>9000/1000</f>
        <v>9</v>
      </c>
      <c r="E255" s="75">
        <v>1000</v>
      </c>
      <c r="F255" s="84">
        <f t="shared" si="43"/>
        <v>9000</v>
      </c>
      <c r="G255" s="84">
        <f t="shared" si="44"/>
        <v>9000</v>
      </c>
      <c r="H255" s="237"/>
      <c r="I255" s="237"/>
      <c r="J255" s="237"/>
      <c r="K255" s="237"/>
    </row>
    <row r="256" spans="1:11" x14ac:dyDescent="0.25">
      <c r="A256" s="75" t="s">
        <v>257</v>
      </c>
      <c r="B256" s="75">
        <v>2606</v>
      </c>
      <c r="C256" s="75" t="s">
        <v>221</v>
      </c>
      <c r="D256" s="84">
        <f>7800/1000</f>
        <v>7.8</v>
      </c>
      <c r="E256" s="75">
        <v>1000</v>
      </c>
      <c r="F256" s="84">
        <f t="shared" si="43"/>
        <v>7800</v>
      </c>
      <c r="G256" s="84">
        <f t="shared" si="44"/>
        <v>7800</v>
      </c>
      <c r="H256" s="237"/>
      <c r="I256" s="237"/>
      <c r="J256" s="237"/>
      <c r="K256" s="237"/>
    </row>
    <row r="257" spans="1:11" x14ac:dyDescent="0.25">
      <c r="A257" s="75" t="s">
        <v>310</v>
      </c>
      <c r="B257" s="75">
        <v>2768</v>
      </c>
      <c r="C257" s="75" t="s">
        <v>221</v>
      </c>
      <c r="D257" s="84">
        <f>15250/1000</f>
        <v>15.25</v>
      </c>
      <c r="E257" s="75">
        <v>1000</v>
      </c>
      <c r="F257" s="84">
        <f t="shared" si="43"/>
        <v>15250</v>
      </c>
      <c r="G257" s="84">
        <f t="shared" si="44"/>
        <v>15250</v>
      </c>
      <c r="H257" s="237"/>
      <c r="I257" s="237"/>
      <c r="J257" s="237"/>
      <c r="K257" s="237"/>
    </row>
    <row r="258" spans="1:11" x14ac:dyDescent="0.25">
      <c r="A258" s="75" t="s">
        <v>258</v>
      </c>
      <c r="B258" s="75">
        <v>2779</v>
      </c>
      <c r="C258" s="75" t="s">
        <v>221</v>
      </c>
      <c r="D258" s="84">
        <f>3400/1000</f>
        <v>3.4</v>
      </c>
      <c r="E258" s="75">
        <v>1000</v>
      </c>
      <c r="F258" s="84">
        <f t="shared" si="43"/>
        <v>3400</v>
      </c>
      <c r="G258" s="84">
        <f t="shared" si="44"/>
        <v>3400</v>
      </c>
      <c r="H258" s="244"/>
      <c r="I258" s="245"/>
      <c r="J258" s="237"/>
      <c r="K258" s="237"/>
    </row>
    <row r="259" spans="1:11" ht="34.5" customHeight="1" x14ac:dyDescent="0.25">
      <c r="A259" s="79"/>
      <c r="B259" s="79"/>
      <c r="C259" s="79"/>
      <c r="D259" s="104"/>
      <c r="E259" s="79"/>
      <c r="F259" s="104"/>
      <c r="G259" s="104"/>
      <c r="H259" s="240"/>
      <c r="I259" s="237"/>
      <c r="J259" s="240"/>
      <c r="K259" s="237"/>
    </row>
    <row r="260" spans="1:11" x14ac:dyDescent="0.25">
      <c r="A260" s="435" t="s">
        <v>214</v>
      </c>
      <c r="B260" s="436"/>
      <c r="C260" s="436"/>
      <c r="D260" s="437"/>
      <c r="E260" s="438" t="s">
        <v>215</v>
      </c>
      <c r="F260" s="438"/>
      <c r="G260" s="105">
        <f>G263+G266+G271+G276+G280+G284</f>
        <v>9686.4</v>
      </c>
      <c r="H260" s="237"/>
    </row>
    <row r="261" spans="1:11" x14ac:dyDescent="0.25">
      <c r="A261" s="439" t="s">
        <v>216</v>
      </c>
      <c r="B261" s="439"/>
      <c r="C261" s="439"/>
      <c r="D261" s="439"/>
      <c r="E261" s="439"/>
      <c r="F261" s="439"/>
      <c r="G261" s="439"/>
    </row>
    <row r="262" spans="1:11" x14ac:dyDescent="0.25">
      <c r="A262" s="64" t="s">
        <v>207</v>
      </c>
    </row>
    <row r="263" spans="1:11" ht="42.75" x14ac:dyDescent="0.25">
      <c r="A263" s="106" t="s">
        <v>130</v>
      </c>
      <c r="B263" s="75"/>
      <c r="C263" s="75"/>
      <c r="D263" s="107">
        <f>SUM(D264:D265)</f>
        <v>60.8</v>
      </c>
      <c r="E263" s="108">
        <f>SUM(E264:E265)</f>
        <v>2</v>
      </c>
      <c r="F263" s="107">
        <f>SUM(F264:F265)</f>
        <v>60.8</v>
      </c>
      <c r="G263" s="107">
        <f>SUM(G264:G265)</f>
        <v>60.8</v>
      </c>
    </row>
    <row r="264" spans="1:11" x14ac:dyDescent="0.25">
      <c r="A264" s="1" t="s">
        <v>267</v>
      </c>
      <c r="B264" s="75">
        <v>2174</v>
      </c>
      <c r="C264" s="75" t="s">
        <v>268</v>
      </c>
      <c r="D264" s="84">
        <v>32.83</v>
      </c>
      <c r="E264" s="75">
        <v>1</v>
      </c>
      <c r="F264" s="84">
        <f>D264*E264</f>
        <v>32.83</v>
      </c>
      <c r="G264" s="84">
        <f>F264</f>
        <v>32.83</v>
      </c>
    </row>
    <row r="265" spans="1:11" x14ac:dyDescent="0.25">
      <c r="A265" s="1" t="s">
        <v>263</v>
      </c>
      <c r="B265" s="75">
        <v>2172</v>
      </c>
      <c r="C265" s="75" t="s">
        <v>268</v>
      </c>
      <c r="D265" s="84">
        <v>27.97</v>
      </c>
      <c r="E265" s="75">
        <v>1</v>
      </c>
      <c r="F265" s="84">
        <f>D265*E265</f>
        <v>27.97</v>
      </c>
      <c r="G265" s="84">
        <f t="shared" ref="G265" si="45">F265</f>
        <v>27.97</v>
      </c>
    </row>
    <row r="266" spans="1:11" ht="43.5" x14ac:dyDescent="0.25">
      <c r="A266" s="109" t="s">
        <v>131</v>
      </c>
      <c r="B266" s="75"/>
      <c r="C266" s="75"/>
      <c r="D266" s="107">
        <f>SUM(D267:D270)</f>
        <v>60.8</v>
      </c>
      <c r="E266" s="108">
        <f>SUM(E267:E270)</f>
        <v>2</v>
      </c>
      <c r="F266" s="107">
        <f>SUM(F267:F270)</f>
        <v>60.8</v>
      </c>
      <c r="G266" s="107">
        <f>SUM(G267:G270)</f>
        <v>60.8</v>
      </c>
    </row>
    <row r="267" spans="1:11" x14ac:dyDescent="0.25">
      <c r="A267" s="1" t="s">
        <v>267</v>
      </c>
      <c r="B267" s="75">
        <v>2174</v>
      </c>
      <c r="C267" s="75" t="s">
        <v>268</v>
      </c>
      <c r="D267" s="84">
        <v>32.83</v>
      </c>
      <c r="E267" s="75">
        <v>1</v>
      </c>
      <c r="F267" s="84">
        <f>D267*E267</f>
        <v>32.83</v>
      </c>
      <c r="G267" s="84">
        <f>F267</f>
        <v>32.83</v>
      </c>
    </row>
    <row r="268" spans="1:11" x14ac:dyDescent="0.25">
      <c r="A268" s="1" t="s">
        <v>263</v>
      </c>
      <c r="B268" s="75">
        <v>2172</v>
      </c>
      <c r="C268" s="75" t="s">
        <v>268</v>
      </c>
      <c r="D268" s="84">
        <v>27.97</v>
      </c>
      <c r="E268" s="75">
        <v>1</v>
      </c>
      <c r="F268" s="84">
        <f>D268*E268</f>
        <v>27.97</v>
      </c>
      <c r="G268" s="84">
        <f t="shared" ref="G268:G270" si="46">F268</f>
        <v>27.97</v>
      </c>
    </row>
    <row r="269" spans="1:11" x14ac:dyDescent="0.25">
      <c r="A269" s="1"/>
      <c r="B269" s="75"/>
      <c r="C269" s="75"/>
      <c r="D269" s="84">
        <v>0</v>
      </c>
      <c r="E269" s="75">
        <v>0</v>
      </c>
      <c r="F269" s="84">
        <v>0</v>
      </c>
      <c r="G269" s="84">
        <f t="shared" si="46"/>
        <v>0</v>
      </c>
    </row>
    <row r="270" spans="1:11" x14ac:dyDescent="0.25">
      <c r="A270" s="1"/>
      <c r="B270" s="75"/>
      <c r="C270" s="75"/>
      <c r="D270" s="84">
        <v>0</v>
      </c>
      <c r="E270" s="75">
        <v>0</v>
      </c>
      <c r="F270" s="84">
        <v>0</v>
      </c>
      <c r="G270" s="84">
        <f t="shared" si="46"/>
        <v>0</v>
      </c>
    </row>
    <row r="271" spans="1:11" ht="43.5" x14ac:dyDescent="0.25">
      <c r="A271" s="109" t="s">
        <v>132</v>
      </c>
      <c r="B271" s="75"/>
      <c r="C271" s="75"/>
      <c r="D271" s="107">
        <f>SUM(D272:D275)</f>
        <v>60.8</v>
      </c>
      <c r="E271" s="108">
        <f>SUM(E272:E275)</f>
        <v>6</v>
      </c>
      <c r="F271" s="107">
        <f>SUM(F272:F275)</f>
        <v>182.39999999999998</v>
      </c>
      <c r="G271" s="107">
        <f>SUM(G272:G275)</f>
        <v>182.39999999999998</v>
      </c>
    </row>
    <row r="272" spans="1:11" x14ac:dyDescent="0.25">
      <c r="A272" s="1" t="s">
        <v>267</v>
      </c>
      <c r="B272" s="75">
        <v>2174</v>
      </c>
      <c r="C272" s="75" t="s">
        <v>268</v>
      </c>
      <c r="D272" s="84">
        <v>32.83</v>
      </c>
      <c r="E272" s="75">
        <v>3</v>
      </c>
      <c r="F272" s="84">
        <f>D272*E272</f>
        <v>98.49</v>
      </c>
      <c r="G272" s="84">
        <f>F272</f>
        <v>98.49</v>
      </c>
    </row>
    <row r="273" spans="1:7" x14ac:dyDescent="0.25">
      <c r="A273" s="1" t="s">
        <v>263</v>
      </c>
      <c r="B273" s="75">
        <v>2172</v>
      </c>
      <c r="C273" s="75" t="s">
        <v>268</v>
      </c>
      <c r="D273" s="84">
        <v>27.97</v>
      </c>
      <c r="E273" s="75">
        <v>3</v>
      </c>
      <c r="F273" s="84">
        <f>D273*E273</f>
        <v>83.91</v>
      </c>
      <c r="G273" s="84">
        <f t="shared" ref="G273:G275" si="47">F273</f>
        <v>83.91</v>
      </c>
    </row>
    <row r="274" spans="1:7" x14ac:dyDescent="0.25">
      <c r="A274" s="1"/>
      <c r="B274" s="75"/>
      <c r="C274" s="75"/>
      <c r="D274" s="84">
        <v>0</v>
      </c>
      <c r="E274" s="75">
        <v>0</v>
      </c>
      <c r="F274" s="84">
        <v>0</v>
      </c>
      <c r="G274" s="84">
        <f t="shared" si="47"/>
        <v>0</v>
      </c>
    </row>
    <row r="275" spans="1:7" x14ac:dyDescent="0.25">
      <c r="A275" s="1"/>
      <c r="B275" s="75"/>
      <c r="C275" s="75"/>
      <c r="D275" s="84">
        <v>0</v>
      </c>
      <c r="E275" s="75">
        <v>0</v>
      </c>
      <c r="F275" s="84">
        <v>0</v>
      </c>
      <c r="G275" s="84">
        <f t="shared" si="47"/>
        <v>0</v>
      </c>
    </row>
    <row r="276" spans="1:7" ht="43.5" x14ac:dyDescent="0.25">
      <c r="A276" s="109" t="s">
        <v>133</v>
      </c>
      <c r="B276" s="75"/>
      <c r="C276" s="75"/>
      <c r="D276" s="107">
        <f>SUM(D277:D279)</f>
        <v>160.79999999999998</v>
      </c>
      <c r="E276" s="108">
        <f>SUM(E277:E279)</f>
        <v>16</v>
      </c>
      <c r="F276" s="107">
        <f>SUM(F277:F279)</f>
        <v>1000</v>
      </c>
      <c r="G276" s="107">
        <f>SUM(G277:G279)</f>
        <v>1000</v>
      </c>
    </row>
    <row r="277" spans="1:7" x14ac:dyDescent="0.25">
      <c r="A277" s="1" t="s">
        <v>311</v>
      </c>
      <c r="B277" s="75">
        <v>972</v>
      </c>
      <c r="C277" s="75" t="s">
        <v>268</v>
      </c>
      <c r="D277" s="84">
        <v>100</v>
      </c>
      <c r="E277" s="75">
        <v>10</v>
      </c>
      <c r="F277" s="84">
        <f>D277*E277</f>
        <v>1000</v>
      </c>
      <c r="G277" s="84">
        <f>F277</f>
        <v>1000</v>
      </c>
    </row>
    <row r="278" spans="1:7" x14ac:dyDescent="0.25">
      <c r="A278" s="1" t="s">
        <v>267</v>
      </c>
      <c r="B278" s="75">
        <v>2174</v>
      </c>
      <c r="C278" s="75" t="s">
        <v>268</v>
      </c>
      <c r="D278" s="84">
        <v>32.83</v>
      </c>
      <c r="E278" s="75">
        <v>3</v>
      </c>
      <c r="F278" s="84">
        <v>0</v>
      </c>
      <c r="G278" s="84">
        <f t="shared" ref="G278:G279" si="48">F278</f>
        <v>0</v>
      </c>
    </row>
    <row r="279" spans="1:7" x14ac:dyDescent="0.25">
      <c r="A279" s="1" t="s">
        <v>263</v>
      </c>
      <c r="B279" s="75">
        <v>2172</v>
      </c>
      <c r="C279" s="75" t="s">
        <v>268</v>
      </c>
      <c r="D279" s="84">
        <v>27.97</v>
      </c>
      <c r="E279" s="75">
        <v>3</v>
      </c>
      <c r="F279" s="84">
        <v>0</v>
      </c>
      <c r="G279" s="84">
        <f t="shared" si="48"/>
        <v>0</v>
      </c>
    </row>
    <row r="280" spans="1:7" ht="43.5" x14ac:dyDescent="0.25">
      <c r="A280" s="109" t="s">
        <v>134</v>
      </c>
      <c r="B280" s="75"/>
      <c r="C280" s="75"/>
      <c r="D280" s="107">
        <f>SUM(D281:D283)</f>
        <v>160.79999999999998</v>
      </c>
      <c r="E280" s="108">
        <f>SUM(E281:E283)</f>
        <v>88</v>
      </c>
      <c r="F280" s="107">
        <f>SUM(F281:F283)</f>
        <v>8200</v>
      </c>
      <c r="G280" s="107">
        <f>SUM(G281:G283)</f>
        <v>8200</v>
      </c>
    </row>
    <row r="281" spans="1:7" x14ac:dyDescent="0.25">
      <c r="A281" s="1" t="s">
        <v>311</v>
      </c>
      <c r="B281" s="75">
        <v>972</v>
      </c>
      <c r="C281" s="75" t="s">
        <v>268</v>
      </c>
      <c r="D281" s="84">
        <v>100</v>
      </c>
      <c r="E281" s="75">
        <v>82</v>
      </c>
      <c r="F281" s="84">
        <f>D281*E281</f>
        <v>8200</v>
      </c>
      <c r="G281" s="84">
        <f>F281</f>
        <v>8200</v>
      </c>
    </row>
    <row r="282" spans="1:7" x14ac:dyDescent="0.25">
      <c r="A282" s="1" t="s">
        <v>267</v>
      </c>
      <c r="B282" s="75">
        <v>2174</v>
      </c>
      <c r="C282" s="75" t="s">
        <v>268</v>
      </c>
      <c r="D282" s="84">
        <v>32.83</v>
      </c>
      <c r="E282" s="75">
        <v>3</v>
      </c>
      <c r="F282" s="84">
        <v>0</v>
      </c>
      <c r="G282" s="84">
        <f t="shared" ref="G282:G283" si="49">F282</f>
        <v>0</v>
      </c>
    </row>
    <row r="283" spans="1:7" x14ac:dyDescent="0.25">
      <c r="A283" s="1" t="s">
        <v>263</v>
      </c>
      <c r="B283" s="75">
        <v>2172</v>
      </c>
      <c r="C283" s="75" t="s">
        <v>268</v>
      </c>
      <c r="D283" s="84">
        <v>27.97</v>
      </c>
      <c r="E283" s="75">
        <v>3</v>
      </c>
      <c r="F283" s="84">
        <v>0</v>
      </c>
      <c r="G283" s="84">
        <f t="shared" si="49"/>
        <v>0</v>
      </c>
    </row>
    <row r="284" spans="1:7" ht="43.5" x14ac:dyDescent="0.25">
      <c r="A284" s="109" t="s">
        <v>135</v>
      </c>
      <c r="B284" s="75"/>
      <c r="C284" s="75"/>
      <c r="D284" s="107">
        <f>SUM(D285:D286)</f>
        <v>60.8</v>
      </c>
      <c r="E284" s="108">
        <f>SUM(E285:E286)</f>
        <v>6</v>
      </c>
      <c r="F284" s="107">
        <f>SUM(F285:F286)</f>
        <v>182.39999999999998</v>
      </c>
      <c r="G284" s="107">
        <f>SUM(G285:G286)</f>
        <v>182.39999999999998</v>
      </c>
    </row>
    <row r="285" spans="1:7" x14ac:dyDescent="0.25">
      <c r="A285" s="1" t="s">
        <v>267</v>
      </c>
      <c r="B285" s="75">
        <v>2174</v>
      </c>
      <c r="C285" s="75" t="s">
        <v>268</v>
      </c>
      <c r="D285" s="84">
        <v>32.83</v>
      </c>
      <c r="E285" s="75">
        <v>3</v>
      </c>
      <c r="F285" s="84">
        <f>D285*E285</f>
        <v>98.49</v>
      </c>
      <c r="G285" s="84">
        <f>F285</f>
        <v>98.49</v>
      </c>
    </row>
    <row r="286" spans="1:7" x14ac:dyDescent="0.25">
      <c r="A286" s="1" t="s">
        <v>263</v>
      </c>
      <c r="B286" s="75">
        <v>2172</v>
      </c>
      <c r="C286" s="75" t="s">
        <v>268</v>
      </c>
      <c r="D286" s="84">
        <v>27.97</v>
      </c>
      <c r="E286" s="75">
        <v>3</v>
      </c>
      <c r="F286" s="84">
        <f>D286*E286</f>
        <v>83.91</v>
      </c>
      <c r="G286" s="84">
        <f t="shared" ref="G286" si="50">F286</f>
        <v>83.91</v>
      </c>
    </row>
    <row r="288" spans="1:7" x14ac:dyDescent="0.25">
      <c r="A288" s="446" t="s">
        <v>217</v>
      </c>
      <c r="B288" s="447"/>
      <c r="C288" s="447"/>
      <c r="D288" s="448"/>
      <c r="E288" s="449" t="s">
        <v>215</v>
      </c>
      <c r="F288" s="449"/>
      <c r="G288" s="110">
        <f>G291+G299+G303+G315+G319</f>
        <v>61738.820000000007</v>
      </c>
    </row>
    <row r="289" spans="1:7" x14ac:dyDescent="0.25">
      <c r="A289" s="446" t="s">
        <v>211</v>
      </c>
      <c r="B289" s="447"/>
      <c r="C289" s="447"/>
      <c r="D289" s="447"/>
      <c r="E289" s="447"/>
      <c r="F289" s="447"/>
      <c r="G289" s="448"/>
    </row>
    <row r="290" spans="1:7" x14ac:dyDescent="0.25">
      <c r="A290" s="64" t="s">
        <v>207</v>
      </c>
    </row>
    <row r="291" spans="1:7" ht="25.5" x14ac:dyDescent="0.25">
      <c r="A291" s="111" t="s">
        <v>151</v>
      </c>
      <c r="B291" s="112"/>
      <c r="C291" s="112"/>
      <c r="D291" s="113">
        <f>SUM(D292:D298)</f>
        <v>1206.8</v>
      </c>
      <c r="E291" s="114">
        <f>SUM(E292:E298)</f>
        <v>2178</v>
      </c>
      <c r="F291" s="113">
        <f>SUM(F292:F298)</f>
        <v>19625.5</v>
      </c>
      <c r="G291" s="113">
        <f>SUM(G292:G298)</f>
        <v>19625.5</v>
      </c>
    </row>
    <row r="292" spans="1:7" x14ac:dyDescent="0.25">
      <c r="A292" s="75" t="s">
        <v>222</v>
      </c>
      <c r="B292" s="75">
        <v>972</v>
      </c>
      <c r="C292" s="75" t="s">
        <v>221</v>
      </c>
      <c r="D292" s="84">
        <v>100</v>
      </c>
      <c r="E292" s="75">
        <v>120</v>
      </c>
      <c r="F292" s="84">
        <f>D292*E292</f>
        <v>12000</v>
      </c>
      <c r="G292" s="84">
        <f>F292</f>
        <v>12000</v>
      </c>
    </row>
    <row r="293" spans="1:7" x14ac:dyDescent="0.25">
      <c r="A293" s="75" t="s">
        <v>312</v>
      </c>
      <c r="B293" s="75">
        <v>2552</v>
      </c>
      <c r="C293" s="75" t="s">
        <v>221</v>
      </c>
      <c r="D293" s="84">
        <f>2250/5</f>
        <v>450</v>
      </c>
      <c r="E293" s="75">
        <v>5</v>
      </c>
      <c r="F293" s="84">
        <f t="shared" ref="F293:F298" si="51">D293*E293</f>
        <v>2250</v>
      </c>
      <c r="G293" s="84">
        <f t="shared" ref="G293:G298" si="52">F293</f>
        <v>2250</v>
      </c>
    </row>
    <row r="294" spans="1:7" ht="30" x14ac:dyDescent="0.25">
      <c r="A294" s="129" t="s">
        <v>313</v>
      </c>
      <c r="B294" s="75">
        <v>2553</v>
      </c>
      <c r="C294" s="75" t="s">
        <v>221</v>
      </c>
      <c r="D294" s="84">
        <f>177.5/50</f>
        <v>3.55</v>
      </c>
      <c r="E294" s="75">
        <v>50</v>
      </c>
      <c r="F294" s="84">
        <f t="shared" si="51"/>
        <v>177.5</v>
      </c>
      <c r="G294" s="84">
        <f t="shared" si="52"/>
        <v>177.5</v>
      </c>
    </row>
    <row r="295" spans="1:7" x14ac:dyDescent="0.25">
      <c r="A295" s="75" t="s">
        <v>314</v>
      </c>
      <c r="B295" s="75">
        <v>2554</v>
      </c>
      <c r="C295" s="75" t="s">
        <v>221</v>
      </c>
      <c r="D295" s="84">
        <f>350/1</f>
        <v>350</v>
      </c>
      <c r="E295" s="75">
        <v>1</v>
      </c>
      <c r="F295" s="84">
        <f t="shared" si="51"/>
        <v>350</v>
      </c>
      <c r="G295" s="84">
        <f t="shared" si="52"/>
        <v>350</v>
      </c>
    </row>
    <row r="296" spans="1:7" x14ac:dyDescent="0.25">
      <c r="A296" s="75" t="s">
        <v>315</v>
      </c>
      <c r="B296" s="75">
        <v>212</v>
      </c>
      <c r="C296" s="75" t="s">
        <v>221</v>
      </c>
      <c r="D296" s="84">
        <f>598/2</f>
        <v>299</v>
      </c>
      <c r="E296" s="75">
        <v>2</v>
      </c>
      <c r="F296" s="84">
        <f t="shared" si="51"/>
        <v>598</v>
      </c>
      <c r="G296" s="84">
        <f t="shared" si="52"/>
        <v>598</v>
      </c>
    </row>
    <row r="297" spans="1:7" ht="17.25" customHeight="1" x14ac:dyDescent="0.25">
      <c r="A297" s="75" t="s">
        <v>316</v>
      </c>
      <c r="B297" s="75">
        <v>268</v>
      </c>
      <c r="C297" s="75" t="s">
        <v>221</v>
      </c>
      <c r="D297" s="84">
        <f>750/1000</f>
        <v>0.75</v>
      </c>
      <c r="E297" s="75">
        <v>1000</v>
      </c>
      <c r="F297" s="84">
        <f t="shared" si="51"/>
        <v>750</v>
      </c>
      <c r="G297" s="84">
        <f t="shared" si="52"/>
        <v>750</v>
      </c>
    </row>
    <row r="298" spans="1:7" x14ac:dyDescent="0.25">
      <c r="A298" s="75" t="s">
        <v>317</v>
      </c>
      <c r="B298" s="75">
        <v>1548</v>
      </c>
      <c r="C298" s="75" t="s">
        <v>221</v>
      </c>
      <c r="D298" s="84">
        <f>3500/1000</f>
        <v>3.5</v>
      </c>
      <c r="E298" s="75">
        <v>1000</v>
      </c>
      <c r="F298" s="84">
        <f t="shared" si="51"/>
        <v>3500</v>
      </c>
      <c r="G298" s="84">
        <f t="shared" si="52"/>
        <v>3500</v>
      </c>
    </row>
    <row r="299" spans="1:7" ht="43.5" customHeight="1" x14ac:dyDescent="0.25">
      <c r="A299" s="115" t="s">
        <v>152</v>
      </c>
      <c r="B299" s="75"/>
      <c r="C299" s="75"/>
      <c r="D299" s="113">
        <f>SUM(D300:D302)</f>
        <v>160.79999999999998</v>
      </c>
      <c r="E299" s="114">
        <f>SUM(E300:E302)</f>
        <v>100</v>
      </c>
      <c r="F299" s="113">
        <f>SUM(F300:F302)</f>
        <v>9304</v>
      </c>
      <c r="G299" s="113">
        <f>SUM(G300:G302)</f>
        <v>9304</v>
      </c>
    </row>
    <row r="300" spans="1:7" x14ac:dyDescent="0.25">
      <c r="A300" s="58" t="s">
        <v>222</v>
      </c>
      <c r="B300" s="75">
        <v>972</v>
      </c>
      <c r="C300" s="75" t="s">
        <v>221</v>
      </c>
      <c r="D300" s="84">
        <v>100</v>
      </c>
      <c r="E300" s="75">
        <v>90</v>
      </c>
      <c r="F300" s="84">
        <f>D300*E300</f>
        <v>9000</v>
      </c>
      <c r="G300" s="84">
        <f>F300</f>
        <v>9000</v>
      </c>
    </row>
    <row r="301" spans="1:7" ht="12.75" customHeight="1" x14ac:dyDescent="0.25">
      <c r="A301" s="1" t="s">
        <v>267</v>
      </c>
      <c r="B301" s="75">
        <v>2174</v>
      </c>
      <c r="C301" s="75" t="s">
        <v>268</v>
      </c>
      <c r="D301" s="84">
        <v>32.83</v>
      </c>
      <c r="E301" s="75">
        <v>5</v>
      </c>
      <c r="F301" s="84">
        <f>D301*E301</f>
        <v>164.14999999999998</v>
      </c>
      <c r="G301" s="84">
        <f>F301</f>
        <v>164.14999999999998</v>
      </c>
    </row>
    <row r="302" spans="1:7" x14ac:dyDescent="0.25">
      <c r="A302" s="1" t="s">
        <v>263</v>
      </c>
      <c r="B302" s="75">
        <v>2172</v>
      </c>
      <c r="C302" s="75" t="s">
        <v>268</v>
      </c>
      <c r="D302" s="84">
        <v>27.97</v>
      </c>
      <c r="E302" s="75">
        <v>5</v>
      </c>
      <c r="F302" s="84">
        <f>D302*E302</f>
        <v>139.85</v>
      </c>
      <c r="G302" s="84">
        <f>F302</f>
        <v>139.85</v>
      </c>
    </row>
    <row r="303" spans="1:7" ht="39.75" customHeight="1" x14ac:dyDescent="0.25">
      <c r="A303" s="115" t="s">
        <v>153</v>
      </c>
      <c r="B303" s="75"/>
      <c r="C303" s="75"/>
      <c r="D303" s="113">
        <f>SUM(D304:D313)</f>
        <v>11324.7</v>
      </c>
      <c r="E303" s="114">
        <f>SUM(E304:E313)</f>
        <v>1176</v>
      </c>
      <c r="F303" s="113">
        <f>SUM(F304:F313)</f>
        <v>20678</v>
      </c>
      <c r="G303" s="113">
        <f>SUM(G304:G313)</f>
        <v>20678</v>
      </c>
    </row>
    <row r="304" spans="1:7" x14ac:dyDescent="0.25">
      <c r="A304" s="75" t="s">
        <v>222</v>
      </c>
      <c r="B304" s="75">
        <v>100</v>
      </c>
      <c r="C304" s="75" t="s">
        <v>268</v>
      </c>
      <c r="D304" s="84">
        <v>100</v>
      </c>
      <c r="E304" s="75">
        <v>60</v>
      </c>
      <c r="F304" s="84">
        <f t="shared" ref="F304:F313" si="53">D304*E304</f>
        <v>6000</v>
      </c>
      <c r="G304" s="84">
        <f t="shared" ref="G304:G313" si="54">F304</f>
        <v>6000</v>
      </c>
    </row>
    <row r="305" spans="1:7" x14ac:dyDescent="0.25">
      <c r="A305" s="75" t="s">
        <v>318</v>
      </c>
      <c r="B305" s="75">
        <v>2558</v>
      </c>
      <c r="C305" s="75" t="s">
        <v>268</v>
      </c>
      <c r="D305" s="84">
        <f>2400/10</f>
        <v>240</v>
      </c>
      <c r="E305" s="75">
        <v>10</v>
      </c>
      <c r="F305" s="84">
        <f t="shared" si="53"/>
        <v>2400</v>
      </c>
      <c r="G305" s="84">
        <f t="shared" si="54"/>
        <v>2400</v>
      </c>
    </row>
    <row r="306" spans="1:7" x14ac:dyDescent="0.25">
      <c r="A306" s="75" t="s">
        <v>319</v>
      </c>
      <c r="B306" s="75">
        <v>296</v>
      </c>
      <c r="C306" s="75" t="s">
        <v>268</v>
      </c>
      <c r="D306" s="84">
        <v>570</v>
      </c>
      <c r="E306" s="75">
        <v>1</v>
      </c>
      <c r="F306" s="84">
        <f t="shared" si="53"/>
        <v>570</v>
      </c>
      <c r="G306" s="84">
        <f t="shared" si="54"/>
        <v>570</v>
      </c>
    </row>
    <row r="307" spans="1:7" x14ac:dyDescent="0.25">
      <c r="A307" s="75" t="s">
        <v>320</v>
      </c>
      <c r="B307" s="75">
        <v>542</v>
      </c>
      <c r="C307" s="75" t="s">
        <v>268</v>
      </c>
      <c r="D307" s="84">
        <v>1985</v>
      </c>
      <c r="E307" s="75">
        <v>1</v>
      </c>
      <c r="F307" s="84">
        <f t="shared" si="53"/>
        <v>1985</v>
      </c>
      <c r="G307" s="84">
        <f t="shared" si="54"/>
        <v>1985</v>
      </c>
    </row>
    <row r="308" spans="1:7" x14ac:dyDescent="0.25">
      <c r="A308" s="75" t="s">
        <v>321</v>
      </c>
      <c r="B308" s="75">
        <v>2053</v>
      </c>
      <c r="C308" s="75" t="s">
        <v>268</v>
      </c>
      <c r="D308" s="84">
        <v>975</v>
      </c>
      <c r="E308" s="75">
        <v>1</v>
      </c>
      <c r="F308" s="84">
        <f t="shared" si="53"/>
        <v>975</v>
      </c>
      <c r="G308" s="84">
        <f t="shared" si="54"/>
        <v>975</v>
      </c>
    </row>
    <row r="309" spans="1:7" x14ac:dyDescent="0.25">
      <c r="A309" s="75" t="s">
        <v>322</v>
      </c>
      <c r="B309" s="75">
        <v>2348</v>
      </c>
      <c r="C309" s="75" t="s">
        <v>268</v>
      </c>
      <c r="D309" s="84">
        <v>275</v>
      </c>
      <c r="E309" s="75">
        <v>1</v>
      </c>
      <c r="F309" s="84">
        <f t="shared" si="53"/>
        <v>275</v>
      </c>
      <c r="G309" s="84">
        <f t="shared" si="54"/>
        <v>275</v>
      </c>
    </row>
    <row r="310" spans="1:7" x14ac:dyDescent="0.25">
      <c r="A310" s="75" t="s">
        <v>323</v>
      </c>
      <c r="B310" s="75">
        <v>2965</v>
      </c>
      <c r="C310" s="75" t="s">
        <v>268</v>
      </c>
      <c r="D310" s="84">
        <v>6854</v>
      </c>
      <c r="E310" s="75">
        <v>1</v>
      </c>
      <c r="F310" s="84">
        <f t="shared" si="53"/>
        <v>6854</v>
      </c>
      <c r="G310" s="84">
        <f t="shared" si="54"/>
        <v>6854</v>
      </c>
    </row>
    <row r="311" spans="1:7" x14ac:dyDescent="0.25">
      <c r="A311" s="75" t="s">
        <v>324</v>
      </c>
      <c r="B311" s="75">
        <v>3485</v>
      </c>
      <c r="C311" s="75" t="s">
        <v>268</v>
      </c>
      <c r="D311" s="84">
        <f>700/1000</f>
        <v>0.7</v>
      </c>
      <c r="E311" s="75">
        <v>1000</v>
      </c>
      <c r="F311" s="84">
        <f t="shared" si="53"/>
        <v>700</v>
      </c>
      <c r="G311" s="84">
        <f t="shared" si="54"/>
        <v>700</v>
      </c>
    </row>
    <row r="312" spans="1:7" x14ac:dyDescent="0.25">
      <c r="A312" s="75" t="s">
        <v>325</v>
      </c>
      <c r="B312" s="75">
        <v>3490</v>
      </c>
      <c r="C312" s="75" t="s">
        <v>268</v>
      </c>
      <c r="D312" s="84">
        <v>319</v>
      </c>
      <c r="E312" s="75">
        <v>1</v>
      </c>
      <c r="F312" s="84">
        <f t="shared" si="53"/>
        <v>319</v>
      </c>
      <c r="G312" s="84">
        <f t="shared" si="54"/>
        <v>319</v>
      </c>
    </row>
    <row r="313" spans="1:7" x14ac:dyDescent="0.25">
      <c r="A313" s="75" t="s">
        <v>326</v>
      </c>
      <c r="B313" s="75">
        <v>1096</v>
      </c>
      <c r="C313" s="75" t="s">
        <v>268</v>
      </c>
      <c r="D313" s="84">
        <f>600/100</f>
        <v>6</v>
      </c>
      <c r="E313" s="75">
        <v>100</v>
      </c>
      <c r="F313" s="84">
        <f t="shared" si="53"/>
        <v>600</v>
      </c>
      <c r="G313" s="84">
        <f t="shared" si="54"/>
        <v>600</v>
      </c>
    </row>
    <row r="314" spans="1:7" x14ac:dyDescent="0.25">
      <c r="A314" s="79"/>
      <c r="B314" s="79"/>
      <c r="C314" s="79"/>
      <c r="D314" s="104"/>
      <c r="E314" s="79"/>
      <c r="F314" s="104"/>
      <c r="G314" s="104"/>
    </row>
    <row r="315" spans="1:7" ht="39" x14ac:dyDescent="0.25">
      <c r="A315" s="130" t="s">
        <v>188</v>
      </c>
      <c r="B315" s="75"/>
      <c r="C315" s="75"/>
      <c r="D315" s="113">
        <f>SUM(D316:D326)</f>
        <v>1059.29</v>
      </c>
      <c r="E315" s="114">
        <f>SUM(E316:E326)</f>
        <v>228</v>
      </c>
      <c r="F315" s="113">
        <f>SUM(F316:F326)</f>
        <v>22257.78</v>
      </c>
      <c r="G315" s="113">
        <f>SUM(G316:G317)</f>
        <v>6065.66</v>
      </c>
    </row>
    <row r="316" spans="1:7" x14ac:dyDescent="0.25">
      <c r="A316" s="75" t="s">
        <v>222</v>
      </c>
      <c r="B316" s="75">
        <v>100</v>
      </c>
      <c r="C316" s="75" t="s">
        <v>268</v>
      </c>
      <c r="D316" s="84">
        <v>100</v>
      </c>
      <c r="E316" s="75">
        <v>60</v>
      </c>
      <c r="F316" s="84">
        <f>D316*E316</f>
        <v>6000</v>
      </c>
      <c r="G316" s="84">
        <f>F316</f>
        <v>6000</v>
      </c>
    </row>
    <row r="317" spans="1:7" x14ac:dyDescent="0.25">
      <c r="A317" s="75" t="s">
        <v>267</v>
      </c>
      <c r="B317" s="75">
        <v>2174</v>
      </c>
      <c r="C317" s="75" t="s">
        <v>268</v>
      </c>
      <c r="D317" s="84">
        <v>32.83</v>
      </c>
      <c r="E317" s="75">
        <v>2</v>
      </c>
      <c r="F317" s="84">
        <f>D317*E317</f>
        <v>65.66</v>
      </c>
      <c r="G317" s="84">
        <f>F317</f>
        <v>65.66</v>
      </c>
    </row>
    <row r="318" spans="1:7" x14ac:dyDescent="0.25">
      <c r="A318" s="79"/>
      <c r="B318" s="79"/>
      <c r="C318" s="79"/>
      <c r="D318" s="104"/>
      <c r="E318" s="79"/>
      <c r="F318" s="104"/>
      <c r="G318" s="104"/>
    </row>
    <row r="319" spans="1:7" x14ac:dyDescent="0.25">
      <c r="A319" s="130" t="s">
        <v>329</v>
      </c>
      <c r="B319" s="75"/>
      <c r="C319" s="75"/>
      <c r="D319" s="113">
        <f>SUM(D320:D332)</f>
        <v>593.63</v>
      </c>
      <c r="E319" s="114">
        <f>SUM(E320:E332)</f>
        <v>94</v>
      </c>
      <c r="F319" s="113">
        <f>SUM(F320:F332)</f>
        <v>9126.4599999999991</v>
      </c>
      <c r="G319" s="113">
        <f>SUM(G320:G321)</f>
        <v>6065.66</v>
      </c>
    </row>
    <row r="320" spans="1:7" x14ac:dyDescent="0.25">
      <c r="A320" s="75" t="s">
        <v>222</v>
      </c>
      <c r="B320" s="75">
        <v>100</v>
      </c>
      <c r="C320" s="75" t="s">
        <v>268</v>
      </c>
      <c r="D320" s="84">
        <v>100</v>
      </c>
      <c r="E320" s="75">
        <v>60</v>
      </c>
      <c r="F320" s="84">
        <f>D320*E320</f>
        <v>6000</v>
      </c>
      <c r="G320" s="84">
        <f>F320</f>
        <v>6000</v>
      </c>
    </row>
    <row r="321" spans="1:7" x14ac:dyDescent="0.25">
      <c r="A321" s="75" t="s">
        <v>267</v>
      </c>
      <c r="B321" s="75">
        <v>2174</v>
      </c>
      <c r="C321" s="75" t="s">
        <v>268</v>
      </c>
      <c r="D321" s="84">
        <v>32.83</v>
      </c>
      <c r="E321" s="75">
        <v>2</v>
      </c>
      <c r="F321" s="84">
        <f>D321*E321</f>
        <v>65.66</v>
      </c>
      <c r="G321" s="84">
        <f>F321</f>
        <v>65.66</v>
      </c>
    </row>
    <row r="322" spans="1:7" x14ac:dyDescent="0.25">
      <c r="A322" s="79"/>
      <c r="B322" s="79"/>
      <c r="C322" s="79"/>
      <c r="D322" s="104"/>
      <c r="E322" s="79"/>
      <c r="F322" s="104"/>
      <c r="G322" s="104"/>
    </row>
    <row r="323" spans="1:7" x14ac:dyDescent="0.25">
      <c r="A323" s="450" t="s">
        <v>218</v>
      </c>
      <c r="B323" s="451"/>
      <c r="C323" s="451"/>
      <c r="D323" s="452"/>
      <c r="E323" s="453" t="s">
        <v>215</v>
      </c>
      <c r="F323" s="453"/>
      <c r="G323" s="116">
        <f>G325+G330</f>
        <v>1560.8000000000002</v>
      </c>
    </row>
    <row r="324" spans="1:7" x14ac:dyDescent="0.25">
      <c r="A324" s="444" t="s">
        <v>219</v>
      </c>
      <c r="B324" s="444"/>
      <c r="C324" s="444"/>
      <c r="D324" s="444"/>
      <c r="E324" s="444"/>
      <c r="F324" s="444"/>
      <c r="G324" s="444"/>
    </row>
    <row r="325" spans="1:7" ht="25.5" x14ac:dyDescent="0.25">
      <c r="A325" s="117" t="s">
        <v>145</v>
      </c>
      <c r="B325" s="75"/>
      <c r="C325" s="75"/>
      <c r="D325" s="118">
        <f>SUM(D326:D326)</f>
        <v>100</v>
      </c>
      <c r="E325" s="119">
        <f>SUM(E326:E326)</f>
        <v>5</v>
      </c>
      <c r="F325" s="118">
        <f>SUM(F326:F326)</f>
        <v>500</v>
      </c>
      <c r="G325" s="118">
        <f>SUM(G326:G328)</f>
        <v>560.80000000000007</v>
      </c>
    </row>
    <row r="326" spans="1:7" x14ac:dyDescent="0.25">
      <c r="A326" s="75" t="s">
        <v>327</v>
      </c>
      <c r="B326" s="75">
        <v>972</v>
      </c>
      <c r="C326" s="75" t="s">
        <v>221</v>
      </c>
      <c r="D326" s="84">
        <v>100</v>
      </c>
      <c r="E326" s="75">
        <v>5</v>
      </c>
      <c r="F326" s="84">
        <f>D326*E326</f>
        <v>500</v>
      </c>
      <c r="G326" s="84">
        <f>F326</f>
        <v>500</v>
      </c>
    </row>
    <row r="327" spans="1:7" ht="30" customHeight="1" x14ac:dyDescent="0.25">
      <c r="A327" s="1" t="s">
        <v>267</v>
      </c>
      <c r="B327" s="75">
        <v>2174</v>
      </c>
      <c r="C327" s="75" t="s">
        <v>268</v>
      </c>
      <c r="D327" s="84">
        <v>32.83</v>
      </c>
      <c r="E327" s="75">
        <v>1</v>
      </c>
      <c r="F327" s="84">
        <f t="shared" ref="F327:F328" si="55">D327*E327</f>
        <v>32.83</v>
      </c>
      <c r="G327" s="84">
        <f t="shared" ref="G327:G328" si="56">F327</f>
        <v>32.83</v>
      </c>
    </row>
    <row r="328" spans="1:7" x14ac:dyDescent="0.25">
      <c r="A328" s="1" t="s">
        <v>263</v>
      </c>
      <c r="B328" s="75">
        <v>2172</v>
      </c>
      <c r="C328" s="75" t="s">
        <v>268</v>
      </c>
      <c r="D328" s="84">
        <v>27.97</v>
      </c>
      <c r="E328" s="75">
        <v>1</v>
      </c>
      <c r="F328" s="84">
        <f t="shared" si="55"/>
        <v>27.97</v>
      </c>
      <c r="G328" s="84">
        <f t="shared" si="56"/>
        <v>27.97</v>
      </c>
    </row>
    <row r="329" spans="1:7" x14ac:dyDescent="0.25">
      <c r="A329" s="444" t="s">
        <v>212</v>
      </c>
      <c r="B329" s="444"/>
      <c r="C329" s="444"/>
      <c r="D329" s="444"/>
      <c r="E329" s="444"/>
      <c r="F329" s="444"/>
      <c r="G329" s="444"/>
    </row>
    <row r="330" spans="1:7" x14ac:dyDescent="0.25">
      <c r="A330" s="120" t="s">
        <v>144</v>
      </c>
      <c r="B330" s="75"/>
      <c r="C330" s="75"/>
      <c r="D330" s="118">
        <f>SUM(D331:D331)</f>
        <v>100</v>
      </c>
      <c r="E330" s="119">
        <f>SUM(E331:E331)</f>
        <v>10</v>
      </c>
      <c r="F330" s="118">
        <f>SUM(F331:F331)</f>
        <v>1000</v>
      </c>
      <c r="G330" s="118">
        <f>SUM(G331:G331)</f>
        <v>1000</v>
      </c>
    </row>
    <row r="331" spans="1:7" x14ac:dyDescent="0.25">
      <c r="A331" s="75" t="s">
        <v>327</v>
      </c>
      <c r="B331" s="75">
        <v>972</v>
      </c>
      <c r="C331" s="75" t="s">
        <v>221</v>
      </c>
      <c r="D331" s="84">
        <v>100</v>
      </c>
      <c r="E331" s="75">
        <v>10</v>
      </c>
      <c r="F331" s="84">
        <f>D331*E331</f>
        <v>1000</v>
      </c>
      <c r="G331" s="84">
        <f>F331</f>
        <v>1000</v>
      </c>
    </row>
    <row r="333" spans="1:7" x14ac:dyDescent="0.25">
      <c r="A333" s="441" t="s">
        <v>220</v>
      </c>
      <c r="B333" s="442"/>
      <c r="C333" s="442"/>
      <c r="D333" s="443"/>
      <c r="E333" s="445" t="s">
        <v>215</v>
      </c>
      <c r="F333" s="445"/>
      <c r="G333" s="121">
        <f>G336+G338+G342+G344+G366+G372</f>
        <v>2130270.29</v>
      </c>
    </row>
    <row r="334" spans="1:7" x14ac:dyDescent="0.25">
      <c r="A334" s="441" t="s">
        <v>211</v>
      </c>
      <c r="B334" s="442"/>
      <c r="C334" s="442"/>
      <c r="D334" s="442"/>
      <c r="E334" s="442"/>
      <c r="F334" s="442"/>
      <c r="G334" s="443"/>
    </row>
    <row r="335" spans="1:7" x14ac:dyDescent="0.25">
      <c r="A335" s="122" t="s">
        <v>205</v>
      </c>
      <c r="B335" s="122"/>
      <c r="C335" s="122"/>
      <c r="D335" s="122"/>
      <c r="E335" s="122"/>
      <c r="F335" s="122"/>
      <c r="G335" s="122"/>
    </row>
    <row r="336" spans="1:7" x14ac:dyDescent="0.25">
      <c r="A336" s="123" t="s">
        <v>164</v>
      </c>
      <c r="B336" s="75"/>
      <c r="C336" s="75"/>
      <c r="D336" s="124">
        <f>SUM(D337:D337)</f>
        <v>100</v>
      </c>
      <c r="E336" s="125">
        <f>SUM(E337:E337)</f>
        <v>25</v>
      </c>
      <c r="F336" s="124">
        <f>SUM(F337:F337)</f>
        <v>2500</v>
      </c>
      <c r="G336" s="124">
        <f>SUM(G337:G337)</f>
        <v>2500</v>
      </c>
    </row>
    <row r="337" spans="1:9" x14ac:dyDescent="0.25">
      <c r="A337" s="75" t="s">
        <v>222</v>
      </c>
      <c r="B337" s="75">
        <v>972</v>
      </c>
      <c r="C337" s="75" t="s">
        <v>328</v>
      </c>
      <c r="D337" s="84">
        <v>100</v>
      </c>
      <c r="E337" s="75">
        <v>25</v>
      </c>
      <c r="F337" s="84">
        <f>D337*E337</f>
        <v>2500</v>
      </c>
      <c r="G337" s="84">
        <f>F337</f>
        <v>2500</v>
      </c>
    </row>
    <row r="338" spans="1:9" ht="38.25" x14ac:dyDescent="0.25">
      <c r="A338" s="126" t="s">
        <v>167</v>
      </c>
      <c r="B338" s="75"/>
      <c r="C338" s="75"/>
      <c r="D338" s="124">
        <f>SUM(D339:D339)</f>
        <v>27.97</v>
      </c>
      <c r="E338" s="125">
        <f>SUM(E339:E339)</f>
        <v>1</v>
      </c>
      <c r="F338" s="124">
        <f>SUM(F339:F339)</f>
        <v>27.97</v>
      </c>
      <c r="G338" s="124">
        <f>SUM(G339:G339)</f>
        <v>27.97</v>
      </c>
    </row>
    <row r="339" spans="1:9" x14ac:dyDescent="0.25">
      <c r="A339" s="1" t="s">
        <v>263</v>
      </c>
      <c r="B339" s="75">
        <v>2172</v>
      </c>
      <c r="C339" s="75" t="s">
        <v>268</v>
      </c>
      <c r="D339" s="84">
        <v>27.97</v>
      </c>
      <c r="E339" s="75">
        <v>1</v>
      </c>
      <c r="F339" s="84">
        <f t="shared" ref="F339" si="57">D339*E339</f>
        <v>27.97</v>
      </c>
      <c r="G339" s="84">
        <f t="shared" ref="G339" si="58">F339</f>
        <v>27.97</v>
      </c>
    </row>
    <row r="340" spans="1:9" x14ac:dyDescent="0.25">
      <c r="A340" s="441" t="s">
        <v>351</v>
      </c>
      <c r="B340" s="442"/>
      <c r="C340" s="442"/>
      <c r="D340" s="442"/>
      <c r="E340" s="442"/>
      <c r="F340" s="442"/>
      <c r="G340" s="443"/>
    </row>
    <row r="341" spans="1:9" x14ac:dyDescent="0.25">
      <c r="A341" s="122" t="s">
        <v>205</v>
      </c>
      <c r="B341" s="122"/>
      <c r="C341" s="122"/>
      <c r="D341" s="122"/>
      <c r="E341" s="122"/>
      <c r="F341" s="122"/>
      <c r="G341" s="122"/>
    </row>
    <row r="342" spans="1:9" x14ac:dyDescent="0.25">
      <c r="A342" s="123" t="s">
        <v>352</v>
      </c>
      <c r="B342" s="75"/>
      <c r="C342" s="75"/>
      <c r="D342" s="124">
        <f>D343</f>
        <v>15625</v>
      </c>
      <c r="E342" s="125">
        <f>E343</f>
        <v>12</v>
      </c>
      <c r="F342" s="124">
        <f>F343</f>
        <v>187500</v>
      </c>
      <c r="G342" s="124">
        <f>G343</f>
        <v>187500</v>
      </c>
      <c r="I342" s="136"/>
    </row>
    <row r="343" spans="1:9" x14ac:dyDescent="0.25">
      <c r="A343" s="75" t="s">
        <v>353</v>
      </c>
      <c r="B343" s="75">
        <v>11</v>
      </c>
      <c r="C343" s="75" t="s">
        <v>354</v>
      </c>
      <c r="D343" s="84">
        <v>15625</v>
      </c>
      <c r="E343" s="75">
        <v>12</v>
      </c>
      <c r="F343" s="84">
        <f>D343*E343</f>
        <v>187500</v>
      </c>
      <c r="G343" s="84">
        <f>F343</f>
        <v>187500</v>
      </c>
      <c r="I343" s="136"/>
    </row>
    <row r="344" spans="1:9" x14ac:dyDescent="0.25">
      <c r="A344" s="135" t="s">
        <v>365</v>
      </c>
      <c r="B344" s="75"/>
      <c r="C344" s="75"/>
      <c r="D344" s="124">
        <f>SUM(D345:D365)</f>
        <v>65106.060000000012</v>
      </c>
      <c r="E344" s="193">
        <f>SUM(E345:E365)</f>
        <v>264</v>
      </c>
      <c r="F344" s="124">
        <f>SUM(F345:F365)</f>
        <v>819288.72</v>
      </c>
      <c r="G344" s="124">
        <f>SUM(G345:G365)</f>
        <v>819288.72</v>
      </c>
      <c r="I344" s="136"/>
    </row>
    <row r="345" spans="1:9" x14ac:dyDescent="0.25">
      <c r="A345" s="75" t="s">
        <v>355</v>
      </c>
      <c r="B345" s="75">
        <v>11</v>
      </c>
      <c r="C345" s="75" t="s">
        <v>354</v>
      </c>
      <c r="D345" s="84">
        <v>3168</v>
      </c>
      <c r="E345" s="75">
        <v>12</v>
      </c>
      <c r="F345" s="84">
        <f>D345*E345</f>
        <v>38016</v>
      </c>
      <c r="G345" s="84">
        <f>F345</f>
        <v>38016</v>
      </c>
      <c r="I345" s="136"/>
    </row>
    <row r="346" spans="1:9" x14ac:dyDescent="0.25">
      <c r="A346" s="75" t="s">
        <v>356</v>
      </c>
      <c r="B346" s="75">
        <v>11</v>
      </c>
      <c r="C346" s="75" t="s">
        <v>354</v>
      </c>
      <c r="D346" s="84">
        <v>3168</v>
      </c>
      <c r="E346" s="75">
        <v>12</v>
      </c>
      <c r="F346" s="84">
        <f>D346*E346</f>
        <v>38016</v>
      </c>
      <c r="G346" s="84">
        <f>F346</f>
        <v>38016</v>
      </c>
      <c r="I346" s="136"/>
    </row>
    <row r="347" spans="1:9" x14ac:dyDescent="0.25">
      <c r="A347" s="75" t="s">
        <v>357</v>
      </c>
      <c r="B347" s="75">
        <v>11</v>
      </c>
      <c r="C347" s="75" t="s">
        <v>354</v>
      </c>
      <c r="D347" s="84">
        <v>3168</v>
      </c>
      <c r="E347" s="75">
        <v>12</v>
      </c>
      <c r="F347" s="84">
        <f t="shared" ref="F347:F364" si="59">D347*E347</f>
        <v>38016</v>
      </c>
      <c r="G347" s="84">
        <f t="shared" ref="G347:G365" si="60">F347</f>
        <v>38016</v>
      </c>
      <c r="I347" s="136"/>
    </row>
    <row r="348" spans="1:9" x14ac:dyDescent="0.25">
      <c r="A348" s="75" t="s">
        <v>358</v>
      </c>
      <c r="B348" s="75">
        <v>11</v>
      </c>
      <c r="C348" s="75" t="s">
        <v>354</v>
      </c>
      <c r="D348" s="84">
        <v>3168</v>
      </c>
      <c r="E348" s="75">
        <v>12</v>
      </c>
      <c r="F348" s="84">
        <f t="shared" si="59"/>
        <v>38016</v>
      </c>
      <c r="G348" s="84">
        <f t="shared" si="60"/>
        <v>38016</v>
      </c>
      <c r="I348" s="136"/>
    </row>
    <row r="349" spans="1:9" x14ac:dyDescent="0.25">
      <c r="A349" s="75" t="s">
        <v>330</v>
      </c>
      <c r="B349" s="75">
        <v>11</v>
      </c>
      <c r="C349" s="75" t="s">
        <v>354</v>
      </c>
      <c r="D349" s="84">
        <v>3168</v>
      </c>
      <c r="E349" s="75">
        <v>12</v>
      </c>
      <c r="F349" s="84">
        <f t="shared" si="59"/>
        <v>38016</v>
      </c>
      <c r="G349" s="84">
        <f t="shared" si="60"/>
        <v>38016</v>
      </c>
      <c r="I349" s="136"/>
    </row>
    <row r="350" spans="1:9" x14ac:dyDescent="0.25">
      <c r="A350" s="75" t="s">
        <v>359</v>
      </c>
      <c r="B350" s="75">
        <v>11</v>
      </c>
      <c r="C350" s="75" t="s">
        <v>354</v>
      </c>
      <c r="D350" s="84">
        <v>3168</v>
      </c>
      <c r="E350" s="75">
        <v>12</v>
      </c>
      <c r="F350" s="84">
        <f t="shared" si="59"/>
        <v>38016</v>
      </c>
      <c r="G350" s="84">
        <f t="shared" si="60"/>
        <v>38016</v>
      </c>
      <c r="I350" s="136"/>
    </row>
    <row r="351" spans="1:9" x14ac:dyDescent="0.25">
      <c r="A351" s="75" t="s">
        <v>360</v>
      </c>
      <c r="B351" s="75">
        <v>11</v>
      </c>
      <c r="C351" s="75" t="s">
        <v>354</v>
      </c>
      <c r="D351" s="84">
        <v>3168</v>
      </c>
      <c r="E351" s="75">
        <v>12</v>
      </c>
      <c r="F351" s="84">
        <f t="shared" si="59"/>
        <v>38016</v>
      </c>
      <c r="G351" s="84">
        <f t="shared" si="60"/>
        <v>38016</v>
      </c>
      <c r="I351" s="136"/>
    </row>
    <row r="352" spans="1:9" x14ac:dyDescent="0.25">
      <c r="A352" s="75" t="s">
        <v>361</v>
      </c>
      <c r="B352" s="75">
        <v>11</v>
      </c>
      <c r="C352" s="75" t="s">
        <v>354</v>
      </c>
      <c r="D352" s="84">
        <v>3168</v>
      </c>
      <c r="E352" s="75">
        <v>12</v>
      </c>
      <c r="F352" s="84">
        <f t="shared" si="59"/>
        <v>38016</v>
      </c>
      <c r="G352" s="84">
        <f t="shared" si="60"/>
        <v>38016</v>
      </c>
      <c r="I352" s="136"/>
    </row>
    <row r="353" spans="1:9" x14ac:dyDescent="0.25">
      <c r="A353" s="75" t="s">
        <v>363</v>
      </c>
      <c r="B353" s="75">
        <v>11</v>
      </c>
      <c r="C353" s="75" t="s">
        <v>354</v>
      </c>
      <c r="D353" s="84">
        <v>3168</v>
      </c>
      <c r="E353" s="75">
        <v>12</v>
      </c>
      <c r="F353" s="84">
        <f t="shared" si="59"/>
        <v>38016</v>
      </c>
      <c r="G353" s="84">
        <f t="shared" si="60"/>
        <v>38016</v>
      </c>
      <c r="I353" s="136"/>
    </row>
    <row r="354" spans="1:9" x14ac:dyDescent="0.25">
      <c r="A354" s="75" t="s">
        <v>362</v>
      </c>
      <c r="B354" s="75">
        <v>11</v>
      </c>
      <c r="C354" s="75" t="s">
        <v>354</v>
      </c>
      <c r="D354" s="84">
        <v>3168</v>
      </c>
      <c r="E354" s="75">
        <v>12</v>
      </c>
      <c r="F354" s="84">
        <f t="shared" si="59"/>
        <v>38016</v>
      </c>
      <c r="G354" s="84">
        <f t="shared" si="60"/>
        <v>38016</v>
      </c>
      <c r="I354" s="136"/>
    </row>
    <row r="355" spans="1:9" x14ac:dyDescent="0.25">
      <c r="A355" s="75" t="s">
        <v>335</v>
      </c>
      <c r="B355" s="75">
        <v>11</v>
      </c>
      <c r="C355" s="75" t="s">
        <v>354</v>
      </c>
      <c r="D355" s="84">
        <v>3168</v>
      </c>
      <c r="E355" s="75">
        <v>12</v>
      </c>
      <c r="F355" s="84">
        <f t="shared" si="59"/>
        <v>38016</v>
      </c>
      <c r="G355" s="84">
        <f t="shared" si="60"/>
        <v>38016</v>
      </c>
      <c r="I355" s="136"/>
    </row>
    <row r="356" spans="1:9" x14ac:dyDescent="0.25">
      <c r="A356" s="75" t="s">
        <v>331</v>
      </c>
      <c r="B356" s="75">
        <v>11</v>
      </c>
      <c r="C356" s="75" t="s">
        <v>354</v>
      </c>
      <c r="D356" s="84">
        <v>3168</v>
      </c>
      <c r="E356" s="75">
        <v>24</v>
      </c>
      <c r="F356" s="84">
        <f t="shared" si="59"/>
        <v>76032</v>
      </c>
      <c r="G356" s="84">
        <f t="shared" si="60"/>
        <v>76032</v>
      </c>
      <c r="I356" s="136"/>
    </row>
    <row r="357" spans="1:9" x14ac:dyDescent="0.25">
      <c r="A357" s="75" t="s">
        <v>364</v>
      </c>
      <c r="B357" s="75">
        <v>11</v>
      </c>
      <c r="C357" s="75" t="s">
        <v>354</v>
      </c>
      <c r="D357" s="84">
        <v>3168</v>
      </c>
      <c r="E357" s="75">
        <v>12</v>
      </c>
      <c r="F357" s="84">
        <f t="shared" si="59"/>
        <v>38016</v>
      </c>
      <c r="G357" s="84">
        <f t="shared" si="60"/>
        <v>38016</v>
      </c>
      <c r="I357" s="136"/>
    </row>
    <row r="358" spans="1:9" x14ac:dyDescent="0.25">
      <c r="A358" s="75" t="s">
        <v>332</v>
      </c>
      <c r="B358" s="75">
        <v>11</v>
      </c>
      <c r="C358" s="75" t="s">
        <v>354</v>
      </c>
      <c r="D358" s="84">
        <v>3168</v>
      </c>
      <c r="E358" s="75">
        <v>12</v>
      </c>
      <c r="F358" s="84">
        <f t="shared" si="59"/>
        <v>38016</v>
      </c>
      <c r="G358" s="84">
        <f>F358</f>
        <v>38016</v>
      </c>
      <c r="I358" s="136"/>
    </row>
    <row r="359" spans="1:9" x14ac:dyDescent="0.25">
      <c r="A359" s="75" t="s">
        <v>371</v>
      </c>
      <c r="B359" s="75">
        <v>31</v>
      </c>
      <c r="C359" s="75" t="s">
        <v>354</v>
      </c>
      <c r="D359" s="84">
        <v>2904.48</v>
      </c>
      <c r="E359" s="75">
        <v>12</v>
      </c>
      <c r="F359" s="84">
        <f t="shared" si="59"/>
        <v>34853.760000000002</v>
      </c>
      <c r="G359" s="84">
        <f t="shared" ref="G359:G364" si="61">F359</f>
        <v>34853.760000000002</v>
      </c>
      <c r="I359" s="136"/>
    </row>
    <row r="360" spans="1:9" x14ac:dyDescent="0.25">
      <c r="A360" s="75" t="s">
        <v>372</v>
      </c>
      <c r="B360" s="75">
        <v>31</v>
      </c>
      <c r="C360" s="75" t="s">
        <v>354</v>
      </c>
      <c r="D360" s="84">
        <v>2904.48</v>
      </c>
      <c r="E360" s="75">
        <v>12</v>
      </c>
      <c r="F360" s="84">
        <f t="shared" si="59"/>
        <v>34853.760000000002</v>
      </c>
      <c r="G360" s="84">
        <f t="shared" si="61"/>
        <v>34853.760000000002</v>
      </c>
      <c r="I360" s="136"/>
    </row>
    <row r="361" spans="1:9" x14ac:dyDescent="0.25">
      <c r="A361" s="75" t="s">
        <v>373</v>
      </c>
      <c r="B361" s="75">
        <v>31</v>
      </c>
      <c r="C361" s="75" t="s">
        <v>354</v>
      </c>
      <c r="D361" s="84">
        <v>2984.07</v>
      </c>
      <c r="E361" s="75">
        <v>12</v>
      </c>
      <c r="F361" s="84">
        <f t="shared" si="59"/>
        <v>35808.840000000004</v>
      </c>
      <c r="G361" s="84">
        <f t="shared" si="61"/>
        <v>35808.840000000004</v>
      </c>
      <c r="I361" s="136"/>
    </row>
    <row r="362" spans="1:9" x14ac:dyDescent="0.25">
      <c r="A362" s="75" t="s">
        <v>357</v>
      </c>
      <c r="B362" s="75">
        <v>31</v>
      </c>
      <c r="C362" s="75" t="s">
        <v>354</v>
      </c>
      <c r="D362" s="84">
        <v>2904.48</v>
      </c>
      <c r="E362" s="75">
        <v>12</v>
      </c>
      <c r="F362" s="84">
        <f t="shared" si="59"/>
        <v>34853.760000000002</v>
      </c>
      <c r="G362" s="84">
        <f t="shared" si="61"/>
        <v>34853.760000000002</v>
      </c>
      <c r="I362" s="136"/>
    </row>
    <row r="363" spans="1:9" x14ac:dyDescent="0.25">
      <c r="A363" s="75" t="s">
        <v>336</v>
      </c>
      <c r="B363" s="75">
        <v>31</v>
      </c>
      <c r="C363" s="75" t="s">
        <v>354</v>
      </c>
      <c r="D363" s="84">
        <v>2984.07</v>
      </c>
      <c r="E363" s="75">
        <v>12</v>
      </c>
      <c r="F363" s="84">
        <f t="shared" si="59"/>
        <v>35808.840000000004</v>
      </c>
      <c r="G363" s="84">
        <f t="shared" si="61"/>
        <v>35808.840000000004</v>
      </c>
      <c r="I363" s="136"/>
    </row>
    <row r="364" spans="1:9" x14ac:dyDescent="0.25">
      <c r="A364" s="75" t="s">
        <v>374</v>
      </c>
      <c r="B364" s="75">
        <v>31</v>
      </c>
      <c r="C364" s="75" t="s">
        <v>354</v>
      </c>
      <c r="D364" s="84">
        <v>2904.48</v>
      </c>
      <c r="E364" s="75">
        <v>12</v>
      </c>
      <c r="F364" s="84">
        <f t="shared" si="59"/>
        <v>34853.760000000002</v>
      </c>
      <c r="G364" s="84">
        <f t="shared" si="61"/>
        <v>34853.760000000002</v>
      </c>
      <c r="I364" s="136"/>
    </row>
    <row r="365" spans="1:9" x14ac:dyDescent="0.25">
      <c r="A365" s="75" t="s">
        <v>366</v>
      </c>
      <c r="B365" s="75">
        <v>11</v>
      </c>
      <c r="C365" s="75" t="s">
        <v>354</v>
      </c>
      <c r="D365" s="84">
        <v>3168</v>
      </c>
      <c r="E365" s="75">
        <v>12</v>
      </c>
      <c r="F365" s="84">
        <f>D365*E365</f>
        <v>38016</v>
      </c>
      <c r="G365" s="84">
        <f t="shared" si="60"/>
        <v>38016</v>
      </c>
      <c r="I365" s="136"/>
    </row>
    <row r="366" spans="1:9" x14ac:dyDescent="0.25">
      <c r="A366" s="135" t="s">
        <v>367</v>
      </c>
      <c r="B366" s="75"/>
      <c r="C366" s="75"/>
      <c r="D366" s="124">
        <f>SUM(D367:D371)</f>
        <v>17924.36</v>
      </c>
      <c r="E366" s="193">
        <f>SUM(E367:E371)</f>
        <v>60</v>
      </c>
      <c r="F366" s="124">
        <f>SUM(F367:F371)</f>
        <v>215092.32</v>
      </c>
      <c r="G366" s="124">
        <f>SUM(G367:G371)</f>
        <v>215092.32</v>
      </c>
      <c r="I366" s="136"/>
    </row>
    <row r="367" spans="1:9" x14ac:dyDescent="0.25">
      <c r="A367" s="75" t="s">
        <v>333</v>
      </c>
      <c r="B367" s="75">
        <v>11</v>
      </c>
      <c r="C367" s="75" t="s">
        <v>354</v>
      </c>
      <c r="D367" s="84">
        <v>3153</v>
      </c>
      <c r="E367" s="75">
        <v>12</v>
      </c>
      <c r="F367" s="84">
        <f>D367*E367</f>
        <v>37836</v>
      </c>
      <c r="G367" s="84">
        <f>F367</f>
        <v>37836</v>
      </c>
      <c r="I367" s="136"/>
    </row>
    <row r="368" spans="1:9" x14ac:dyDescent="0.25">
      <c r="A368" s="75" t="s">
        <v>368</v>
      </c>
      <c r="B368" s="75">
        <v>11</v>
      </c>
      <c r="C368" s="75" t="s">
        <v>354</v>
      </c>
      <c r="D368" s="84">
        <v>3710</v>
      </c>
      <c r="E368" s="75">
        <v>12</v>
      </c>
      <c r="F368" s="84">
        <f t="shared" ref="F368:F370" si="62">D368*E368</f>
        <v>44520</v>
      </c>
      <c r="G368" s="84">
        <f t="shared" ref="G368:G371" si="63">F368</f>
        <v>44520</v>
      </c>
      <c r="I368" s="136"/>
    </row>
    <row r="369" spans="1:9" x14ac:dyDescent="0.25">
      <c r="A369" s="75" t="s">
        <v>337</v>
      </c>
      <c r="B369" s="75">
        <v>31</v>
      </c>
      <c r="C369" s="75" t="s">
        <v>354</v>
      </c>
      <c r="D369" s="84">
        <v>3061.36</v>
      </c>
      <c r="E369" s="75">
        <v>12</v>
      </c>
      <c r="F369" s="84">
        <f t="shared" si="62"/>
        <v>36736.32</v>
      </c>
      <c r="G369" s="84">
        <f t="shared" si="63"/>
        <v>36736.32</v>
      </c>
      <c r="I369" s="136"/>
    </row>
    <row r="370" spans="1:9" x14ac:dyDescent="0.25">
      <c r="A370" s="75" t="s">
        <v>369</v>
      </c>
      <c r="B370" s="75">
        <v>21</v>
      </c>
      <c r="C370" s="75" t="s">
        <v>354</v>
      </c>
      <c r="D370" s="84">
        <v>4000</v>
      </c>
      <c r="E370" s="75">
        <v>12</v>
      </c>
      <c r="F370" s="84">
        <f t="shared" si="62"/>
        <v>48000</v>
      </c>
      <c r="G370" s="84">
        <f t="shared" si="63"/>
        <v>48000</v>
      </c>
      <c r="I370" s="136"/>
    </row>
    <row r="371" spans="1:9" x14ac:dyDescent="0.25">
      <c r="A371" s="75" t="s">
        <v>370</v>
      </c>
      <c r="B371" s="75">
        <v>21</v>
      </c>
      <c r="C371" s="75" t="s">
        <v>354</v>
      </c>
      <c r="D371" s="84">
        <v>4000</v>
      </c>
      <c r="E371" s="75">
        <v>12</v>
      </c>
      <c r="F371" s="84">
        <f>D371*E371</f>
        <v>48000</v>
      </c>
      <c r="G371" s="84">
        <f t="shared" si="63"/>
        <v>48000</v>
      </c>
      <c r="I371" s="136"/>
    </row>
    <row r="372" spans="1:9" x14ac:dyDescent="0.25">
      <c r="A372" s="135" t="s">
        <v>375</v>
      </c>
      <c r="B372" s="75"/>
      <c r="C372" s="75"/>
      <c r="D372" s="124">
        <f>SUM(D373:D385)</f>
        <v>75488.44</v>
      </c>
      <c r="E372" s="193">
        <f>SUM(E373:E385)</f>
        <v>156</v>
      </c>
      <c r="F372" s="124">
        <f>SUM(F373:F385)</f>
        <v>905861.28</v>
      </c>
      <c r="G372" s="124">
        <f>SUM(G373:G385)</f>
        <v>905861.28</v>
      </c>
      <c r="I372" s="136"/>
    </row>
    <row r="373" spans="1:9" x14ac:dyDescent="0.25">
      <c r="A373" s="75" t="s">
        <v>334</v>
      </c>
      <c r="B373" s="75">
        <v>11</v>
      </c>
      <c r="C373" s="75" t="s">
        <v>354</v>
      </c>
      <c r="D373" s="84">
        <v>5091</v>
      </c>
      <c r="E373" s="75">
        <v>12</v>
      </c>
      <c r="F373" s="84">
        <f>D373*E373</f>
        <v>61092</v>
      </c>
      <c r="G373" s="84">
        <f>F373</f>
        <v>61092</v>
      </c>
      <c r="I373" s="136"/>
    </row>
    <row r="374" spans="1:9" x14ac:dyDescent="0.25">
      <c r="A374" s="75" t="s">
        <v>376</v>
      </c>
      <c r="B374" s="75">
        <v>11</v>
      </c>
      <c r="C374" s="75" t="s">
        <v>354</v>
      </c>
      <c r="D374" s="84">
        <v>5091</v>
      </c>
      <c r="E374" s="75">
        <v>12</v>
      </c>
      <c r="F374" s="84">
        <f t="shared" ref="F374:F385" si="64">D374*E374</f>
        <v>61092</v>
      </c>
      <c r="G374" s="84">
        <f t="shared" ref="G374:G385" si="65">F374</f>
        <v>61092</v>
      </c>
      <c r="I374" s="136"/>
    </row>
    <row r="375" spans="1:9" x14ac:dyDescent="0.25">
      <c r="A375" s="75" t="s">
        <v>377</v>
      </c>
      <c r="B375" s="75">
        <v>11</v>
      </c>
      <c r="C375" s="75" t="s">
        <v>354</v>
      </c>
      <c r="D375" s="84">
        <v>5091</v>
      </c>
      <c r="E375" s="75">
        <v>12</v>
      </c>
      <c r="F375" s="84">
        <f t="shared" si="64"/>
        <v>61092</v>
      </c>
      <c r="G375" s="84">
        <f t="shared" si="65"/>
        <v>61092</v>
      </c>
      <c r="I375" s="136"/>
    </row>
    <row r="376" spans="1:9" x14ac:dyDescent="0.25">
      <c r="A376" s="75" t="s">
        <v>378</v>
      </c>
      <c r="B376" s="75">
        <v>11</v>
      </c>
      <c r="C376" s="75" t="s">
        <v>354</v>
      </c>
      <c r="D376" s="84">
        <v>10260</v>
      </c>
      <c r="E376" s="75">
        <v>12</v>
      </c>
      <c r="F376" s="84">
        <f t="shared" si="64"/>
        <v>123120</v>
      </c>
      <c r="G376" s="84">
        <f t="shared" si="65"/>
        <v>123120</v>
      </c>
      <c r="I376" s="136"/>
    </row>
    <row r="377" spans="1:9" x14ac:dyDescent="0.25">
      <c r="A377" s="75" t="s">
        <v>376</v>
      </c>
      <c r="B377" s="75">
        <v>11</v>
      </c>
      <c r="C377" s="75" t="s">
        <v>354</v>
      </c>
      <c r="D377" s="84">
        <v>3710</v>
      </c>
      <c r="E377" s="75">
        <v>12</v>
      </c>
      <c r="F377" s="84">
        <f t="shared" si="64"/>
        <v>44520</v>
      </c>
      <c r="G377" s="84">
        <f t="shared" si="65"/>
        <v>44520</v>
      </c>
      <c r="I377" s="136"/>
    </row>
    <row r="378" spans="1:9" x14ac:dyDescent="0.25">
      <c r="A378" s="75" t="s">
        <v>394</v>
      </c>
      <c r="B378" s="75">
        <v>31</v>
      </c>
      <c r="C378" s="75" t="s">
        <v>354</v>
      </c>
      <c r="D378" s="84">
        <v>3061.36</v>
      </c>
      <c r="E378" s="75">
        <v>12</v>
      </c>
      <c r="F378" s="84">
        <f t="shared" si="64"/>
        <v>36736.32</v>
      </c>
      <c r="G378" s="84">
        <f t="shared" si="65"/>
        <v>36736.32</v>
      </c>
      <c r="I378" s="136"/>
    </row>
    <row r="379" spans="1:9" x14ac:dyDescent="0.25">
      <c r="A379" s="75" t="s">
        <v>379</v>
      </c>
      <c r="B379" s="75">
        <v>31</v>
      </c>
      <c r="C379" s="75" t="s">
        <v>354</v>
      </c>
      <c r="D379" s="84">
        <v>3061.36</v>
      </c>
      <c r="E379" s="75">
        <v>12</v>
      </c>
      <c r="F379" s="84">
        <f t="shared" si="64"/>
        <v>36736.32</v>
      </c>
      <c r="G379" s="84">
        <f t="shared" si="65"/>
        <v>36736.32</v>
      </c>
      <c r="I379" s="136"/>
    </row>
    <row r="380" spans="1:9" x14ac:dyDescent="0.25">
      <c r="A380" s="75" t="s">
        <v>380</v>
      </c>
      <c r="B380" s="75">
        <v>31</v>
      </c>
      <c r="C380" s="75" t="s">
        <v>354</v>
      </c>
      <c r="D380" s="84">
        <v>3061.36</v>
      </c>
      <c r="E380" s="75">
        <v>12</v>
      </c>
      <c r="F380" s="84">
        <f t="shared" si="64"/>
        <v>36736.32</v>
      </c>
      <c r="G380" s="84">
        <f t="shared" si="65"/>
        <v>36736.32</v>
      </c>
      <c r="I380" s="136"/>
    </row>
    <row r="381" spans="1:9" x14ac:dyDescent="0.25">
      <c r="A381" s="75" t="s">
        <v>379</v>
      </c>
      <c r="B381" s="75">
        <v>31</v>
      </c>
      <c r="C381" s="75" t="s">
        <v>354</v>
      </c>
      <c r="D381" s="84">
        <v>3061.36</v>
      </c>
      <c r="E381" s="75">
        <v>12</v>
      </c>
      <c r="F381" s="84">
        <f t="shared" si="64"/>
        <v>36736.32</v>
      </c>
      <c r="G381" s="84">
        <f t="shared" si="65"/>
        <v>36736.32</v>
      </c>
      <c r="I381" s="136"/>
    </row>
    <row r="382" spans="1:9" x14ac:dyDescent="0.25">
      <c r="A382" s="75" t="s">
        <v>381</v>
      </c>
      <c r="B382" s="75">
        <v>29</v>
      </c>
      <c r="C382" s="75" t="s">
        <v>354</v>
      </c>
      <c r="D382" s="84">
        <v>7000</v>
      </c>
      <c r="E382" s="75">
        <v>12</v>
      </c>
      <c r="F382" s="84">
        <f t="shared" si="64"/>
        <v>84000</v>
      </c>
      <c r="G382" s="84">
        <f t="shared" si="65"/>
        <v>84000</v>
      </c>
      <c r="I382" s="136"/>
    </row>
    <row r="383" spans="1:9" x14ac:dyDescent="0.25">
      <c r="A383" s="75" t="s">
        <v>381</v>
      </c>
      <c r="B383" s="75">
        <v>29</v>
      </c>
      <c r="C383" s="75" t="s">
        <v>354</v>
      </c>
      <c r="D383" s="84">
        <v>7000</v>
      </c>
      <c r="E383" s="75">
        <v>12</v>
      </c>
      <c r="F383" s="84">
        <f t="shared" si="64"/>
        <v>84000</v>
      </c>
      <c r="G383" s="84">
        <f t="shared" si="65"/>
        <v>84000</v>
      </c>
      <c r="I383" s="136"/>
    </row>
    <row r="384" spans="1:9" x14ac:dyDescent="0.25">
      <c r="A384" s="75" t="s">
        <v>393</v>
      </c>
      <c r="B384" s="75">
        <v>29</v>
      </c>
      <c r="C384" s="75" t="s">
        <v>354</v>
      </c>
      <c r="D384" s="84">
        <v>12000</v>
      </c>
      <c r="E384" s="75">
        <v>12</v>
      </c>
      <c r="F384" s="84">
        <f t="shared" si="64"/>
        <v>144000</v>
      </c>
      <c r="G384" s="84">
        <f t="shared" si="65"/>
        <v>144000</v>
      </c>
      <c r="I384" s="136"/>
    </row>
    <row r="385" spans="1:9" x14ac:dyDescent="0.25">
      <c r="A385" s="75" t="s">
        <v>338</v>
      </c>
      <c r="B385" s="75">
        <v>29</v>
      </c>
      <c r="C385" s="75" t="s">
        <v>354</v>
      </c>
      <c r="D385" s="84">
        <v>8000</v>
      </c>
      <c r="E385" s="75">
        <v>12</v>
      </c>
      <c r="F385" s="84">
        <f t="shared" si="64"/>
        <v>96000</v>
      </c>
      <c r="G385" s="84">
        <f t="shared" si="65"/>
        <v>96000</v>
      </c>
      <c r="I385" s="136"/>
    </row>
  </sheetData>
  <mergeCells count="32">
    <mergeCell ref="A1:G1"/>
    <mergeCell ref="A2:G2"/>
    <mergeCell ref="A3:G3"/>
    <mergeCell ref="A340:G340"/>
    <mergeCell ref="A324:G324"/>
    <mergeCell ref="A329:G329"/>
    <mergeCell ref="A333:D333"/>
    <mergeCell ref="E333:F333"/>
    <mergeCell ref="A334:G334"/>
    <mergeCell ref="A288:D288"/>
    <mergeCell ref="E288:F288"/>
    <mergeCell ref="A289:G289"/>
    <mergeCell ref="A323:D323"/>
    <mergeCell ref="E323:F323"/>
    <mergeCell ref="A187:G187"/>
    <mergeCell ref="A234:G234"/>
    <mergeCell ref="A260:D260"/>
    <mergeCell ref="E260:F260"/>
    <mergeCell ref="A261:G261"/>
    <mergeCell ref="A181:G181"/>
    <mergeCell ref="A169:G169"/>
    <mergeCell ref="A6:D6"/>
    <mergeCell ref="E6:F6"/>
    <mergeCell ref="A7:G7"/>
    <mergeCell ref="B9:C9"/>
    <mergeCell ref="A13:D13"/>
    <mergeCell ref="E13:F13"/>
    <mergeCell ref="A140:G140"/>
    <mergeCell ref="A87:G87"/>
    <mergeCell ref="A79:G79"/>
    <mergeCell ref="A59:G59"/>
    <mergeCell ref="A14:G14"/>
  </mergeCells>
  <conditionalFormatting sqref="A147 A12">
    <cfRule type="beginsWith" dxfId="2" priority="79" stopIfTrue="1" operator="beginsWith" text="    -">
      <formula>LEFT(A12,LEN("    -"))="    -"</formula>
    </cfRule>
    <cfRule type="beginsWith" dxfId="1" priority="80" stopIfTrue="1" operator="beginsWith" text="  AC.">
      <formula>LEFT(A12,LEN("  AC."))="  AC."</formula>
    </cfRule>
    <cfRule type="beginsWith" dxfId="0" priority="81" stopIfTrue="1" operator="beginsWith" text="SP.">
      <formula>LEFT(A12,LEN("SP."))="SP."</formula>
    </cfRule>
  </conditionalFormatting>
  <pageMargins left="0.25" right="0.25" top="0.75" bottom="0.75" header="0.3" footer="0.3"/>
  <pageSetup scale="85" orientation="landscape" horizontalDpi="4294967293" verticalDpi="0" r:id="rId1"/>
  <ignoredErrors>
    <ignoredError sqref="G34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'C:\Users\conap\Desktop\CONAP DRAC 2019\INFORMES A PLANIFICACION CENTRAL\INFORME SOBRE POA 2020\POA 2020\[POA 2020 DIRECCION REGIONAL ALTIPLANO CENTRAL.xlsx]Listado de Datos 1(SP.AC.IN)'!#REF!</xm:f>
          </x14:formula1>
          <xm:sqref>A12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Desarrollo economico </vt:lpstr>
      <vt:lpstr>Conservacion del Patrimonio Nat</vt:lpstr>
      <vt:lpstr>SANEAMIENTO AMBIENTAL </vt:lpstr>
      <vt:lpstr>Educacion Ambiental y Cultural</vt:lpstr>
      <vt:lpstr>Conservacion Patrimonio Cultura</vt:lpstr>
      <vt:lpstr>Administracion </vt:lpstr>
      <vt:lpstr>PRESUPUESTO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2021-11-18T16:40:12Z</dcterms:modified>
</cp:coreProperties>
</file>