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ownloads\"/>
    </mc:Choice>
  </mc:AlternateContent>
  <bookViews>
    <workbookView xWindow="0" yWindow="0" windowWidth="20490" windowHeight="7620" tabRatio="671" activeTab="6"/>
  </bookViews>
  <sheets>
    <sheet name="MR" sheetId="2" r:id="rId1"/>
    <sheet name="PC" sheetId="13" r:id="rId2"/>
    <sheet name="I&amp;M" sheetId="4" r:id="rId3"/>
    <sheet name="RRCC" sheetId="10" r:id="rId4"/>
    <sheet name="RRI" sheetId="14" r:id="rId5"/>
    <sheet name="ADMON" sheetId="22" r:id="rId6"/>
    <sheet name="PST" sheetId="21" r:id="rId7"/>
    <sheet name="Planilla PNSL" sheetId="33" r:id="rId8"/>
  </sheets>
  <definedNames>
    <definedName name="_xlnm._FilterDatabase" localSheetId="6" hidden="1">PST!$A$542:$R$610</definedName>
    <definedName name="_xlnm.Print_Area" localSheetId="5">ADMON!$A$1:$V$42</definedName>
    <definedName name="_xlnm.Print_Area" localSheetId="2">'I&amp;M'!$A$1:$V$15</definedName>
    <definedName name="_xlnm.Print_Area" localSheetId="0">MR!$A$1:$V$44</definedName>
    <definedName name="_xlnm.Print_Area" localSheetId="1">PC!$A$1:$V$16</definedName>
    <definedName name="_xlnm.Print_Area" localSheetId="7">'Planilla PNSL'!$A$1:$E$21</definedName>
    <definedName name="_xlnm.Print_Area" localSheetId="6">PST!$A$1:$K$649</definedName>
    <definedName name="_xlnm.Print_Area" localSheetId="4">RRI!$A$1:$V$29</definedName>
  </definedNames>
  <calcPr calcId="162913"/>
</workbook>
</file>

<file path=xl/calcChain.xml><?xml version="1.0" encoding="utf-8"?>
<calcChain xmlns="http://schemas.openxmlformats.org/spreadsheetml/2006/main">
  <c r="A105" i="21" l="1"/>
  <c r="A2" i="2"/>
  <c r="A627" i="21" l="1"/>
  <c r="A623" i="21"/>
  <c r="H587" i="21" l="1"/>
  <c r="I587" i="21" s="1"/>
  <c r="F587" i="21"/>
  <c r="I586" i="21"/>
  <c r="F586" i="21"/>
  <c r="I585" i="21"/>
  <c r="F585" i="21"/>
  <c r="I584" i="21"/>
  <c r="F584" i="21"/>
  <c r="H583" i="21"/>
  <c r="I583" i="21" s="1"/>
  <c r="F583" i="21"/>
  <c r="A582" i="21"/>
  <c r="J585" i="21" l="1"/>
  <c r="J586" i="21"/>
  <c r="J587" i="21"/>
  <c r="I582" i="21"/>
  <c r="J582" i="21" s="1"/>
  <c r="T16" i="22" s="1"/>
  <c r="J583" i="21"/>
  <c r="J584" i="21"/>
  <c r="I607" i="21" l="1"/>
  <c r="F607" i="21"/>
  <c r="I619" i="21"/>
  <c r="J619" i="21" s="1"/>
  <c r="I620" i="21"/>
  <c r="J620" i="21" s="1"/>
  <c r="I618" i="21"/>
  <c r="J618" i="21" s="1"/>
  <c r="I617" i="21"/>
  <c r="J617" i="21" s="1"/>
  <c r="I616" i="21"/>
  <c r="J616" i="21" s="1"/>
  <c r="I615" i="21"/>
  <c r="J615" i="21" s="1"/>
  <c r="I614" i="21"/>
  <c r="J614" i="21" s="1"/>
  <c r="A602" i="21"/>
  <c r="I598" i="21"/>
  <c r="J598" i="21" s="1"/>
  <c r="A593" i="21"/>
  <c r="I601" i="21"/>
  <c r="F601" i="21"/>
  <c r="I600" i="21"/>
  <c r="F600" i="21"/>
  <c r="I599" i="21"/>
  <c r="F599" i="21"/>
  <c r="H581" i="21"/>
  <c r="I581" i="21" s="1"/>
  <c r="F581" i="21"/>
  <c r="I560" i="21"/>
  <c r="J560" i="21" s="1"/>
  <c r="H554" i="21"/>
  <c r="D554" i="21"/>
  <c r="H550" i="21"/>
  <c r="I550" i="21" s="1"/>
  <c r="J550" i="21" s="1"/>
  <c r="H549" i="21"/>
  <c r="I549" i="21" s="1"/>
  <c r="J549" i="21" s="1"/>
  <c r="I548" i="21"/>
  <c r="J548" i="21" s="1"/>
  <c r="I547" i="21"/>
  <c r="J547" i="21" s="1"/>
  <c r="A546" i="21"/>
  <c r="A551" i="21"/>
  <c r="J607" i="21" l="1"/>
  <c r="J601" i="21"/>
  <c r="J581" i="21"/>
  <c r="J599" i="21"/>
  <c r="J600" i="21"/>
  <c r="J546" i="21"/>
  <c r="T25" i="14" s="1"/>
  <c r="I531" i="21"/>
  <c r="I532" i="21"/>
  <c r="J532" i="21" s="1"/>
  <c r="I533" i="21"/>
  <c r="J533" i="21" s="1"/>
  <c r="I534" i="21"/>
  <c r="J534" i="21" s="1"/>
  <c r="I535" i="21"/>
  <c r="J535" i="21" s="1"/>
  <c r="I530" i="21"/>
  <c r="J530" i="21" s="1"/>
  <c r="A529" i="21"/>
  <c r="I528" i="21"/>
  <c r="J528" i="21" s="1"/>
  <c r="I527" i="21"/>
  <c r="J527" i="21" s="1"/>
  <c r="I526" i="21"/>
  <c r="J526" i="21" s="1"/>
  <c r="H525" i="21"/>
  <c r="I525" i="21" s="1"/>
  <c r="J525" i="21" s="1"/>
  <c r="I524" i="21"/>
  <c r="A523" i="21"/>
  <c r="A513" i="21"/>
  <c r="F412" i="21"/>
  <c r="F402" i="21"/>
  <c r="I320" i="21"/>
  <c r="F320" i="21"/>
  <c r="I319" i="21"/>
  <c r="F319" i="21"/>
  <c r="I318" i="21"/>
  <c r="F318" i="21"/>
  <c r="I317" i="21"/>
  <c r="F317" i="21"/>
  <c r="I316" i="21"/>
  <c r="F316" i="21"/>
  <c r="I315" i="21"/>
  <c r="F315" i="21"/>
  <c r="I314" i="21"/>
  <c r="F314" i="21"/>
  <c r="I313" i="21"/>
  <c r="F313" i="21"/>
  <c r="I312" i="21"/>
  <c r="F312" i="21"/>
  <c r="I311" i="21"/>
  <c r="F311" i="21"/>
  <c r="I310" i="21"/>
  <c r="F310" i="21"/>
  <c r="H309" i="21"/>
  <c r="I309" i="21" s="1"/>
  <c r="F309" i="21"/>
  <c r="A321" i="21"/>
  <c r="F322" i="21"/>
  <c r="I322" i="21"/>
  <c r="F323" i="21"/>
  <c r="I323" i="21"/>
  <c r="F324" i="21"/>
  <c r="I324" i="21"/>
  <c r="A308" i="21"/>
  <c r="J531" i="21" l="1"/>
  <c r="I529" i="21"/>
  <c r="J529" i="21" s="1"/>
  <c r="T14" i="14" s="1"/>
  <c r="J524" i="21"/>
  <c r="I523" i="21"/>
  <c r="J523" i="21" s="1"/>
  <c r="T13" i="14" s="1"/>
  <c r="I546" i="21"/>
  <c r="J312" i="21"/>
  <c r="J316" i="21"/>
  <c r="J317" i="21"/>
  <c r="J315" i="21"/>
  <c r="J324" i="21"/>
  <c r="F308" i="21"/>
  <c r="J309" i="21"/>
  <c r="I308" i="21"/>
  <c r="J310" i="21"/>
  <c r="J311" i="21"/>
  <c r="J319" i="21"/>
  <c r="J314" i="21"/>
  <c r="J318" i="21"/>
  <c r="J320" i="21"/>
  <c r="J313" i="21"/>
  <c r="J322" i="21"/>
  <c r="J323" i="21"/>
  <c r="D13" i="33"/>
  <c r="D5" i="33"/>
  <c r="D4" i="33"/>
  <c r="D9" i="33"/>
  <c r="D15" i="33"/>
  <c r="D16" i="33" s="1"/>
  <c r="D14" i="33"/>
  <c r="D7" i="33"/>
  <c r="D6" i="33"/>
  <c r="J308" i="21" l="1"/>
  <c r="T15" i="10" s="1"/>
  <c r="U15" i="10" s="1"/>
  <c r="D12" i="33"/>
  <c r="D8" i="33"/>
  <c r="D3" i="33"/>
  <c r="I476" i="21" l="1"/>
  <c r="F476" i="21"/>
  <c r="J476" i="21" l="1"/>
  <c r="I412" i="21"/>
  <c r="J412" i="21" s="1"/>
  <c r="I407" i="21"/>
  <c r="F407" i="21"/>
  <c r="I406" i="21"/>
  <c r="F406" i="21"/>
  <c r="H405" i="21"/>
  <c r="I405" i="21" s="1"/>
  <c r="F405" i="21"/>
  <c r="H404" i="21"/>
  <c r="I404" i="21" s="1"/>
  <c r="F404" i="21"/>
  <c r="A403" i="21"/>
  <c r="I402" i="21"/>
  <c r="J402" i="21" s="1"/>
  <c r="I401" i="21"/>
  <c r="F401" i="21"/>
  <c r="I400" i="21"/>
  <c r="F400" i="21"/>
  <c r="I399" i="21"/>
  <c r="F399" i="21"/>
  <c r="I398" i="21"/>
  <c r="F398" i="21"/>
  <c r="I397" i="21"/>
  <c r="F397" i="21"/>
  <c r="A396" i="21"/>
  <c r="F403" i="21" l="1"/>
  <c r="I403" i="21"/>
  <c r="F396" i="21"/>
  <c r="J401" i="21"/>
  <c r="J406" i="21"/>
  <c r="J407" i="21"/>
  <c r="J400" i="21"/>
  <c r="J397" i="21"/>
  <c r="J399" i="21"/>
  <c r="J404" i="21"/>
  <c r="J405" i="21"/>
  <c r="I396" i="21"/>
  <c r="J398" i="21"/>
  <c r="J403" i="21" l="1"/>
  <c r="T34" i="10" s="1"/>
  <c r="J396" i="21"/>
  <c r="T33" i="10" s="1"/>
  <c r="A121" i="21"/>
  <c r="I445" i="21" l="1"/>
  <c r="F445" i="21"/>
  <c r="I450" i="21"/>
  <c r="F450" i="21"/>
  <c r="I449" i="21"/>
  <c r="F449" i="21"/>
  <c r="I448" i="21"/>
  <c r="F448" i="21"/>
  <c r="I447" i="21"/>
  <c r="F447" i="21"/>
  <c r="I446" i="21"/>
  <c r="F446" i="21"/>
  <c r="I444" i="21"/>
  <c r="F444" i="21"/>
  <c r="A443" i="21"/>
  <c r="H438" i="21"/>
  <c r="I438" i="21" s="1"/>
  <c r="H437" i="21"/>
  <c r="I437" i="21" s="1"/>
  <c r="H436" i="21"/>
  <c r="I436" i="21" s="1"/>
  <c r="I442" i="21"/>
  <c r="F442" i="21"/>
  <c r="I441" i="21"/>
  <c r="F441" i="21"/>
  <c r="F437" i="21"/>
  <c r="I440" i="21"/>
  <c r="F440" i="21"/>
  <c r="I439" i="21"/>
  <c r="F439" i="21"/>
  <c r="F438" i="21"/>
  <c r="F436" i="21"/>
  <c r="A435" i="21"/>
  <c r="I359" i="21"/>
  <c r="F369" i="21"/>
  <c r="I369" i="21"/>
  <c r="F359" i="21"/>
  <c r="I368" i="21"/>
  <c r="F368" i="21"/>
  <c r="I367" i="21"/>
  <c r="F367" i="21"/>
  <c r="I366" i="21"/>
  <c r="F366" i="21"/>
  <c r="I365" i="21"/>
  <c r="F365" i="21"/>
  <c r="I364" i="21"/>
  <c r="F364" i="21"/>
  <c r="I363" i="21"/>
  <c r="F363" i="21"/>
  <c r="I362" i="21"/>
  <c r="F362" i="21"/>
  <c r="I361" i="21"/>
  <c r="F361" i="21"/>
  <c r="I360" i="21"/>
  <c r="F360" i="21"/>
  <c r="F358" i="21"/>
  <c r="I357" i="21"/>
  <c r="F357" i="21"/>
  <c r="A356" i="21"/>
  <c r="A68" i="21"/>
  <c r="I491" i="21"/>
  <c r="F491" i="21"/>
  <c r="I490" i="21"/>
  <c r="F490" i="21"/>
  <c r="I489" i="21"/>
  <c r="F489" i="21"/>
  <c r="I488" i="21"/>
  <c r="F488" i="21"/>
  <c r="I487" i="21"/>
  <c r="F487" i="21"/>
  <c r="H486" i="21"/>
  <c r="I486" i="21" s="1"/>
  <c r="F486" i="21"/>
  <c r="A485" i="21"/>
  <c r="I484" i="21"/>
  <c r="F484" i="21"/>
  <c r="I483" i="21"/>
  <c r="F483" i="21"/>
  <c r="I482" i="21"/>
  <c r="F482" i="21"/>
  <c r="I481" i="21"/>
  <c r="F481" i="21"/>
  <c r="H480" i="21"/>
  <c r="I480" i="21" s="1"/>
  <c r="F480" i="21"/>
  <c r="A479" i="21"/>
  <c r="I473" i="21"/>
  <c r="I478" i="21"/>
  <c r="F478" i="21"/>
  <c r="I477" i="21"/>
  <c r="F477" i="21"/>
  <c r="I475" i="21"/>
  <c r="F475" i="21"/>
  <c r="I474" i="21"/>
  <c r="F474" i="21"/>
  <c r="F473" i="21"/>
  <c r="A472" i="21"/>
  <c r="H432" i="21"/>
  <c r="I432" i="21" s="1"/>
  <c r="H431" i="21"/>
  <c r="I431" i="21" s="1"/>
  <c r="H430" i="21"/>
  <c r="I430" i="21" s="1"/>
  <c r="I434" i="21"/>
  <c r="F434" i="21"/>
  <c r="I433" i="21"/>
  <c r="F433" i="21"/>
  <c r="F432" i="21"/>
  <c r="F431" i="21"/>
  <c r="F430" i="21"/>
  <c r="A429" i="21"/>
  <c r="I428" i="21"/>
  <c r="F428" i="21"/>
  <c r="I427" i="21"/>
  <c r="F427" i="21"/>
  <c r="I426" i="21"/>
  <c r="F426" i="21"/>
  <c r="H425" i="21"/>
  <c r="I425" i="21" s="1"/>
  <c r="F425" i="21"/>
  <c r="I424" i="21"/>
  <c r="F424" i="21"/>
  <c r="I423" i="21"/>
  <c r="F423" i="21"/>
  <c r="I422" i="21"/>
  <c r="F422" i="21"/>
  <c r="I421" i="21"/>
  <c r="F421" i="21"/>
  <c r="I420" i="21"/>
  <c r="F420" i="21"/>
  <c r="A419" i="21"/>
  <c r="I418" i="21"/>
  <c r="F418" i="21"/>
  <c r="I417" i="21"/>
  <c r="F417" i="21"/>
  <c r="I416" i="21"/>
  <c r="F416" i="21"/>
  <c r="H415" i="21"/>
  <c r="I415" i="21" s="1"/>
  <c r="F415" i="21"/>
  <c r="H414" i="21"/>
  <c r="I414" i="21" s="1"/>
  <c r="F414" i="21"/>
  <c r="I413" i="21"/>
  <c r="F413" i="21"/>
  <c r="I411" i="21"/>
  <c r="F411" i="21"/>
  <c r="I410" i="21"/>
  <c r="F410" i="21"/>
  <c r="I409" i="21"/>
  <c r="F409" i="21"/>
  <c r="A408" i="21"/>
  <c r="H393" i="21"/>
  <c r="I393" i="21" s="1"/>
  <c r="H392" i="21"/>
  <c r="I392" i="21" s="1"/>
  <c r="H391" i="21"/>
  <c r="I391" i="21" s="1"/>
  <c r="I395" i="21"/>
  <c r="F395" i="21"/>
  <c r="I394" i="21"/>
  <c r="F394" i="21"/>
  <c r="F393" i="21"/>
  <c r="F392" i="21"/>
  <c r="F391" i="21"/>
  <c r="A390" i="21"/>
  <c r="H388" i="21"/>
  <c r="I388" i="21" s="1"/>
  <c r="H387" i="21"/>
  <c r="I387" i="21" s="1"/>
  <c r="A386" i="21"/>
  <c r="I389" i="21"/>
  <c r="F389" i="21"/>
  <c r="F388" i="21"/>
  <c r="F387" i="21"/>
  <c r="I385" i="21"/>
  <c r="F385" i="21"/>
  <c r="I384" i="21"/>
  <c r="F384" i="21"/>
  <c r="I383" i="21"/>
  <c r="F383" i="21"/>
  <c r="I382" i="21"/>
  <c r="F382" i="21"/>
  <c r="I381" i="21"/>
  <c r="F381" i="21"/>
  <c r="I380" i="21"/>
  <c r="F380" i="21"/>
  <c r="A379" i="21"/>
  <c r="J450" i="21" l="1"/>
  <c r="I443" i="21"/>
  <c r="F443" i="21"/>
  <c r="F435" i="21"/>
  <c r="J448" i="21"/>
  <c r="J441" i="21"/>
  <c r="J449" i="21"/>
  <c r="J445" i="21"/>
  <c r="I435" i="21"/>
  <c r="J447" i="21"/>
  <c r="J444" i="21"/>
  <c r="J446" i="21"/>
  <c r="J440" i="21"/>
  <c r="J437" i="21"/>
  <c r="J442" i="21"/>
  <c r="I479" i="21"/>
  <c r="J369" i="21"/>
  <c r="I485" i="21"/>
  <c r="J368" i="21"/>
  <c r="J487" i="21"/>
  <c r="J489" i="21"/>
  <c r="J436" i="21"/>
  <c r="J438" i="21"/>
  <c r="J439" i="21"/>
  <c r="J367" i="21"/>
  <c r="F356" i="21"/>
  <c r="J360" i="21"/>
  <c r="J362" i="21"/>
  <c r="J483" i="21"/>
  <c r="J357" i="21"/>
  <c r="J363" i="21"/>
  <c r="J365" i="21"/>
  <c r="F485" i="21"/>
  <c r="J490" i="21"/>
  <c r="J361" i="21"/>
  <c r="F479" i="21"/>
  <c r="J488" i="21"/>
  <c r="J364" i="21"/>
  <c r="J366" i="21"/>
  <c r="J359" i="21"/>
  <c r="I358" i="21"/>
  <c r="J486" i="21"/>
  <c r="J491" i="21"/>
  <c r="J482" i="21"/>
  <c r="J484" i="21"/>
  <c r="I472" i="21"/>
  <c r="J474" i="21"/>
  <c r="J480" i="21"/>
  <c r="J481" i="21"/>
  <c r="F472" i="21"/>
  <c r="J473" i="21"/>
  <c r="J478" i="21"/>
  <c r="J477" i="21"/>
  <c r="J475" i="21"/>
  <c r="F429" i="21"/>
  <c r="I429" i="21"/>
  <c r="J420" i="21"/>
  <c r="J431" i="21"/>
  <c r="J430" i="21"/>
  <c r="J434" i="21"/>
  <c r="J433" i="21"/>
  <c r="J432" i="21"/>
  <c r="J421" i="21"/>
  <c r="J423" i="21"/>
  <c r="J425" i="21"/>
  <c r="J427" i="21"/>
  <c r="F419" i="21"/>
  <c r="F408" i="21"/>
  <c r="I419" i="21"/>
  <c r="J426" i="21"/>
  <c r="J428" i="21"/>
  <c r="J422" i="21"/>
  <c r="J424" i="21"/>
  <c r="J411" i="21"/>
  <c r="I408" i="21"/>
  <c r="J417" i="21"/>
  <c r="J416" i="21"/>
  <c r="J410" i="21"/>
  <c r="J413" i="21"/>
  <c r="J415" i="21"/>
  <c r="J414" i="21"/>
  <c r="J409" i="21"/>
  <c r="J418" i="21"/>
  <c r="J391" i="21"/>
  <c r="J393" i="21"/>
  <c r="J394" i="21"/>
  <c r="J395" i="21"/>
  <c r="F390" i="21"/>
  <c r="I390" i="21"/>
  <c r="J392" i="21"/>
  <c r="F386" i="21"/>
  <c r="I386" i="21"/>
  <c r="J387" i="21"/>
  <c r="J388" i="21"/>
  <c r="J389" i="21"/>
  <c r="J385" i="21"/>
  <c r="F379" i="21"/>
  <c r="I379" i="21"/>
  <c r="J381" i="21"/>
  <c r="J380" i="21"/>
  <c r="J382" i="21"/>
  <c r="J384" i="21"/>
  <c r="J383" i="21"/>
  <c r="J443" i="21" l="1"/>
  <c r="T39" i="10" s="1"/>
  <c r="J479" i="21"/>
  <c r="T53" i="10" s="1"/>
  <c r="J435" i="21"/>
  <c r="T38" i="10" s="1"/>
  <c r="J485" i="21"/>
  <c r="T54" i="10" s="1"/>
  <c r="J358" i="21"/>
  <c r="I356" i="21"/>
  <c r="J356" i="21" s="1"/>
  <c r="T19" i="10" s="1"/>
  <c r="U19" i="10" s="1"/>
  <c r="J472" i="21"/>
  <c r="T52" i="10" s="1"/>
  <c r="J429" i="21"/>
  <c r="T37" i="10" s="1"/>
  <c r="J419" i="21"/>
  <c r="T36" i="10" s="1"/>
  <c r="J408" i="21"/>
  <c r="T35" i="10" s="1"/>
  <c r="J386" i="21"/>
  <c r="T31" i="10" s="1"/>
  <c r="J390" i="21"/>
  <c r="T32" i="10" s="1"/>
  <c r="J379" i="21"/>
  <c r="T30" i="10" s="1"/>
  <c r="H506" i="21"/>
  <c r="I503" i="21"/>
  <c r="F503" i="21"/>
  <c r="H495" i="21"/>
  <c r="I495" i="21" s="1"/>
  <c r="I499" i="21"/>
  <c r="F499" i="21"/>
  <c r="I498" i="21"/>
  <c r="F498" i="21"/>
  <c r="I497" i="21"/>
  <c r="F497" i="21"/>
  <c r="I496" i="21"/>
  <c r="F496" i="21"/>
  <c r="F495" i="21"/>
  <c r="I494" i="21"/>
  <c r="F494" i="21"/>
  <c r="I493" i="21"/>
  <c r="F493" i="21"/>
  <c r="I378" i="21"/>
  <c r="F378" i="21"/>
  <c r="F377" i="21"/>
  <c r="F375" i="21"/>
  <c r="F376" i="21"/>
  <c r="H372" i="21"/>
  <c r="I372" i="21" s="1"/>
  <c r="H373" i="21"/>
  <c r="I373" i="21" s="1"/>
  <c r="H374" i="21"/>
  <c r="I374" i="21" s="1"/>
  <c r="I375" i="21"/>
  <c r="I376" i="21"/>
  <c r="I377" i="21"/>
  <c r="F374" i="21"/>
  <c r="F373" i="21"/>
  <c r="F372" i="21"/>
  <c r="H302" i="21"/>
  <c r="I302" i="21" s="1"/>
  <c r="F302" i="21"/>
  <c r="H301" i="21"/>
  <c r="I301" i="21" s="1"/>
  <c r="F301" i="21"/>
  <c r="I300" i="21"/>
  <c r="F300" i="21"/>
  <c r="I299" i="21"/>
  <c r="F299" i="21"/>
  <c r="H297" i="21"/>
  <c r="I297" i="21" s="1"/>
  <c r="F297" i="21"/>
  <c r="H296" i="21"/>
  <c r="I296" i="21" s="1"/>
  <c r="F296" i="21"/>
  <c r="I631" i="21"/>
  <c r="I628" i="21"/>
  <c r="I626" i="21"/>
  <c r="I613" i="21"/>
  <c r="I612" i="21"/>
  <c r="I610" i="21"/>
  <c r="I609" i="21"/>
  <c r="I608" i="21"/>
  <c r="I606" i="21"/>
  <c r="I605" i="21"/>
  <c r="I604" i="21"/>
  <c r="I603" i="21"/>
  <c r="I597" i="21"/>
  <c r="I596" i="21"/>
  <c r="I595" i="21"/>
  <c r="I594" i="21"/>
  <c r="I580" i="21"/>
  <c r="I579" i="21"/>
  <c r="I578" i="21"/>
  <c r="I575" i="21"/>
  <c r="I574" i="21"/>
  <c r="I573" i="21"/>
  <c r="I571" i="21"/>
  <c r="I569" i="21"/>
  <c r="I568" i="21"/>
  <c r="I559" i="21"/>
  <c r="I558" i="21"/>
  <c r="I557" i="21"/>
  <c r="I556" i="21"/>
  <c r="I555" i="21"/>
  <c r="I553" i="21"/>
  <c r="I552" i="21"/>
  <c r="I545" i="21"/>
  <c r="I544" i="21"/>
  <c r="I543" i="21"/>
  <c r="I542" i="21"/>
  <c r="I541" i="21"/>
  <c r="I539" i="21"/>
  <c r="I522" i="21"/>
  <c r="I520" i="21"/>
  <c r="I519" i="21"/>
  <c r="I518" i="21"/>
  <c r="I515" i="21"/>
  <c r="I509" i="21"/>
  <c r="I508" i="21"/>
  <c r="I507" i="21"/>
  <c r="I504" i="21"/>
  <c r="I502" i="21"/>
  <c r="I501" i="21"/>
  <c r="I471" i="21"/>
  <c r="I470" i="21"/>
  <c r="I469" i="21"/>
  <c r="I468" i="21"/>
  <c r="I467" i="21"/>
  <c r="I466" i="21"/>
  <c r="I465" i="21"/>
  <c r="I461" i="21"/>
  <c r="I460" i="21"/>
  <c r="I459" i="21"/>
  <c r="I458" i="21"/>
  <c r="I454" i="21"/>
  <c r="I355" i="21"/>
  <c r="I354" i="21"/>
  <c r="I353" i="21"/>
  <c r="I352" i="21"/>
  <c r="I351" i="21"/>
  <c r="I350" i="21"/>
  <c r="I349" i="21"/>
  <c r="I343" i="21"/>
  <c r="I342" i="21"/>
  <c r="I341" i="21"/>
  <c r="I340" i="21"/>
  <c r="I339" i="21"/>
  <c r="I338" i="21"/>
  <c r="I337" i="21"/>
  <c r="I334" i="21"/>
  <c r="I329" i="21"/>
  <c r="I304" i="21"/>
  <c r="I295" i="21"/>
  <c r="I294" i="21"/>
  <c r="I292" i="21"/>
  <c r="I291" i="21"/>
  <c r="I290" i="21"/>
  <c r="I289" i="21"/>
  <c r="I288" i="21"/>
  <c r="I283" i="21"/>
  <c r="I282" i="21"/>
  <c r="I281" i="21"/>
  <c r="I279" i="21"/>
  <c r="I278" i="21"/>
  <c r="I277" i="21"/>
  <c r="I266" i="21"/>
  <c r="I265" i="21"/>
  <c r="I258" i="21"/>
  <c r="I249" i="21"/>
  <c r="I246" i="21"/>
  <c r="I245" i="21"/>
  <c r="I244" i="21"/>
  <c r="I239" i="21"/>
  <c r="I238" i="21" s="1"/>
  <c r="I235" i="21"/>
  <c r="I234" i="21"/>
  <c r="I230" i="21"/>
  <c r="I229" i="21"/>
  <c r="I227" i="21"/>
  <c r="I224" i="21"/>
  <c r="I216" i="21"/>
  <c r="I215" i="21"/>
  <c r="I210" i="21"/>
  <c r="I209" i="21"/>
  <c r="I207" i="21"/>
  <c r="I206" i="21"/>
  <c r="I205" i="21"/>
  <c r="I204" i="21"/>
  <c r="I203" i="21"/>
  <c r="I202" i="21"/>
  <c r="I201" i="21"/>
  <c r="I200" i="21"/>
  <c r="I199" i="21"/>
  <c r="I198" i="21"/>
  <c r="I197" i="21"/>
  <c r="I195" i="21"/>
  <c r="I194" i="21"/>
  <c r="I193" i="21"/>
  <c r="I192" i="21"/>
  <c r="I191" i="21"/>
  <c r="I190" i="21"/>
  <c r="I183" i="21"/>
  <c r="I180" i="21"/>
  <c r="I179" i="21"/>
  <c r="I174" i="21"/>
  <c r="I173" i="21"/>
  <c r="I164" i="21"/>
  <c r="I161" i="21"/>
  <c r="I160" i="21"/>
  <c r="I158" i="21"/>
  <c r="I156" i="21"/>
  <c r="I155" i="21"/>
  <c r="I154" i="21"/>
  <c r="I152" i="21"/>
  <c r="I151" i="21"/>
  <c r="I150" i="21"/>
  <c r="I148" i="21"/>
  <c r="I147" i="21"/>
  <c r="I146" i="21"/>
  <c r="I145" i="21"/>
  <c r="I144" i="21"/>
  <c r="I141" i="21"/>
  <c r="I136" i="21"/>
  <c r="I135" i="21"/>
  <c r="I133" i="21"/>
  <c r="I131" i="21"/>
  <c r="I130" i="21"/>
  <c r="I129" i="21"/>
  <c r="I128" i="21"/>
  <c r="I124" i="21"/>
  <c r="I118" i="21"/>
  <c r="I117" i="21"/>
  <c r="I116" i="21"/>
  <c r="I115" i="21"/>
  <c r="I104" i="21"/>
  <c r="I103" i="21" s="1"/>
  <c r="I102" i="21"/>
  <c r="I101" i="21"/>
  <c r="I100" i="21"/>
  <c r="I99" i="21"/>
  <c r="I97" i="21"/>
  <c r="I96" i="21"/>
  <c r="I95" i="21"/>
  <c r="I94" i="21"/>
  <c r="I93" i="21"/>
  <c r="I92" i="21"/>
  <c r="I90" i="21"/>
  <c r="I89" i="21"/>
  <c r="I88" i="21"/>
  <c r="I87" i="21"/>
  <c r="I86" i="21"/>
  <c r="I85" i="21"/>
  <c r="I83" i="21"/>
  <c r="I82" i="21"/>
  <c r="I81" i="21"/>
  <c r="I80" i="21"/>
  <c r="I78" i="21"/>
  <c r="I73" i="21"/>
  <c r="I71" i="21"/>
  <c r="I70" i="21"/>
  <c r="I65" i="21"/>
  <c r="I64" i="21"/>
  <c r="I59" i="21"/>
  <c r="I58" i="21"/>
  <c r="I57" i="21"/>
  <c r="I56" i="21"/>
  <c r="I54" i="21"/>
  <c r="I50" i="21"/>
  <c r="I48" i="21"/>
  <c r="I47" i="21"/>
  <c r="I46" i="21"/>
  <c r="I45" i="21"/>
  <c r="I44" i="21"/>
  <c r="I43" i="21"/>
  <c r="I42" i="21"/>
  <c r="I41" i="21"/>
  <c r="I35" i="21"/>
  <c r="I32" i="21"/>
  <c r="I27" i="21"/>
  <c r="I26" i="21"/>
  <c r="I25" i="21"/>
  <c r="I23" i="21"/>
  <c r="I21" i="21"/>
  <c r="I20" i="21"/>
  <c r="I19" i="21"/>
  <c r="I18" i="21"/>
  <c r="I16" i="21"/>
  <c r="I14" i="21"/>
  <c r="I13" i="21"/>
  <c r="I12" i="21"/>
  <c r="I11" i="21"/>
  <c r="I10" i="21"/>
  <c r="F631" i="21"/>
  <c r="F629" i="21"/>
  <c r="F628" i="21"/>
  <c r="F625" i="21"/>
  <c r="F624" i="21"/>
  <c r="F613" i="21"/>
  <c r="F612" i="21"/>
  <c r="F610" i="21"/>
  <c r="F609" i="21"/>
  <c r="F608" i="21"/>
  <c r="F606" i="21"/>
  <c r="F605" i="21"/>
  <c r="F604" i="21"/>
  <c r="F603" i="21"/>
  <c r="F597" i="21"/>
  <c r="F596" i="21"/>
  <c r="F595" i="21"/>
  <c r="F594" i="21"/>
  <c r="F590" i="21"/>
  <c r="F589" i="21"/>
  <c r="F580" i="21"/>
  <c r="F579" i="21"/>
  <c r="F578" i="21"/>
  <c r="F577" i="21"/>
  <c r="F575" i="21"/>
  <c r="F574" i="21"/>
  <c r="F573" i="21"/>
  <c r="F571" i="21"/>
  <c r="F570" i="21"/>
  <c r="F569" i="21"/>
  <c r="F568" i="21"/>
  <c r="F559" i="21"/>
  <c r="F558" i="21"/>
  <c r="F557" i="21"/>
  <c r="F556" i="21"/>
  <c r="F555" i="21"/>
  <c r="F554" i="21"/>
  <c r="F553" i="21"/>
  <c r="F552" i="21"/>
  <c r="F545" i="21"/>
  <c r="F544" i="21"/>
  <c r="F543" i="21"/>
  <c r="F542" i="21"/>
  <c r="F541" i="21"/>
  <c r="F540" i="21"/>
  <c r="F539" i="21"/>
  <c r="F521" i="21"/>
  <c r="F520" i="21"/>
  <c r="F519" i="21"/>
  <c r="F518" i="21"/>
  <c r="F517" i="21"/>
  <c r="F516" i="21"/>
  <c r="F515" i="21"/>
  <c r="F514" i="21"/>
  <c r="F509" i="21"/>
  <c r="F508" i="21"/>
  <c r="F507" i="21"/>
  <c r="F506" i="21"/>
  <c r="F504" i="21"/>
  <c r="F502" i="21"/>
  <c r="F501" i="21"/>
  <c r="F500" i="21"/>
  <c r="F471" i="21"/>
  <c r="F470" i="21"/>
  <c r="F469" i="21"/>
  <c r="F468" i="21"/>
  <c r="F467" i="21"/>
  <c r="F466" i="21"/>
  <c r="F465" i="21"/>
  <c r="F464" i="21"/>
  <c r="F462" i="21"/>
  <c r="F461" i="21"/>
  <c r="F460" i="21"/>
  <c r="F459" i="21"/>
  <c r="F458" i="21"/>
  <c r="F457" i="21"/>
  <c r="F456" i="21"/>
  <c r="F455" i="21"/>
  <c r="F454" i="21"/>
  <c r="F453" i="21"/>
  <c r="F355" i="21"/>
  <c r="F354" i="21"/>
  <c r="F353" i="21"/>
  <c r="F352" i="21"/>
  <c r="F351" i="21"/>
  <c r="F350" i="21"/>
  <c r="F349" i="21"/>
  <c r="F348" i="21"/>
  <c r="F347" i="21"/>
  <c r="F346" i="21"/>
  <c r="F345" i="21"/>
  <c r="F343" i="21"/>
  <c r="F342" i="21"/>
  <c r="F341" i="21"/>
  <c r="F340" i="21"/>
  <c r="F339" i="21"/>
  <c r="F338" i="21"/>
  <c r="F337" i="21"/>
  <c r="F336" i="21"/>
  <c r="F335" i="21"/>
  <c r="F334" i="21"/>
  <c r="F333" i="21"/>
  <c r="F332" i="21"/>
  <c r="F331" i="21"/>
  <c r="F329" i="21"/>
  <c r="F328" i="21"/>
  <c r="F327" i="21"/>
  <c r="F325" i="21"/>
  <c r="F307" i="21"/>
  <c r="F306" i="21"/>
  <c r="F305" i="21"/>
  <c r="F304" i="21"/>
  <c r="F295" i="21"/>
  <c r="F294" i="21"/>
  <c r="F292" i="21"/>
  <c r="F291" i="21"/>
  <c r="F290" i="21"/>
  <c r="F289" i="21"/>
  <c r="F288" i="21"/>
  <c r="F287" i="21"/>
  <c r="F286" i="21"/>
  <c r="F283" i="21"/>
  <c r="F282" i="21"/>
  <c r="F281" i="21"/>
  <c r="F279" i="21"/>
  <c r="F278" i="21"/>
  <c r="F277" i="21"/>
  <c r="F276" i="21"/>
  <c r="F275" i="21"/>
  <c r="F266" i="21"/>
  <c r="F265" i="21"/>
  <c r="F263" i="21"/>
  <c r="F262" i="21"/>
  <c r="F261" i="21"/>
  <c r="F260" i="21"/>
  <c r="F259" i="21"/>
  <c r="F258" i="21"/>
  <c r="F257" i="21"/>
  <c r="F255" i="21"/>
  <c r="F254" i="21"/>
  <c r="F253" i="21"/>
  <c r="F252" i="21"/>
  <c r="F251" i="21"/>
  <c r="F250" i="21"/>
  <c r="F249" i="21"/>
  <c r="F248" i="21"/>
  <c r="F246" i="21"/>
  <c r="F245" i="21"/>
  <c r="F244" i="21"/>
  <c r="F239" i="21"/>
  <c r="F235" i="21"/>
  <c r="F234" i="21"/>
  <c r="F230" i="21"/>
  <c r="F229" i="21"/>
  <c r="F227" i="21"/>
  <c r="F226" i="21"/>
  <c r="F225" i="21"/>
  <c r="F224" i="21"/>
  <c r="F219" i="21"/>
  <c r="F218" i="21"/>
  <c r="F217" i="21"/>
  <c r="F216" i="21"/>
  <c r="F215" i="21"/>
  <c r="F213" i="21"/>
  <c r="F212" i="21"/>
  <c r="F211" i="21"/>
  <c r="F210" i="21"/>
  <c r="F209" i="21"/>
  <c r="F207" i="21"/>
  <c r="F206" i="21"/>
  <c r="F205" i="21"/>
  <c r="F204" i="21"/>
  <c r="F203" i="21"/>
  <c r="F202" i="21"/>
  <c r="F201" i="21"/>
  <c r="F197" i="21"/>
  <c r="F196" i="21"/>
  <c r="F195" i="21"/>
  <c r="F194" i="21"/>
  <c r="F193" i="21"/>
  <c r="F192" i="21"/>
  <c r="F191" i="21"/>
  <c r="F190" i="21"/>
  <c r="F189" i="21"/>
  <c r="F188" i="21"/>
  <c r="F187" i="21"/>
  <c r="F186" i="21"/>
  <c r="F185" i="21"/>
  <c r="F184" i="21"/>
  <c r="F183" i="21"/>
  <c r="F182" i="21"/>
  <c r="F181" i="21"/>
  <c r="F178" i="21"/>
  <c r="F177" i="21"/>
  <c r="F175" i="21"/>
  <c r="F174" i="21"/>
  <c r="F173" i="21"/>
  <c r="F172" i="21"/>
  <c r="F171" i="21"/>
  <c r="F167" i="21"/>
  <c r="F166" i="21"/>
  <c r="F165" i="21"/>
  <c r="F164" i="21"/>
  <c r="F163" i="21"/>
  <c r="F162" i="21"/>
  <c r="F159" i="21"/>
  <c r="F158" i="21"/>
  <c r="F156" i="21"/>
  <c r="F155" i="21"/>
  <c r="F154" i="21"/>
  <c r="F153" i="21"/>
  <c r="F152" i="21"/>
  <c r="F151" i="21"/>
  <c r="F150" i="21"/>
  <c r="F148" i="21"/>
  <c r="F147" i="21"/>
  <c r="F146" i="21"/>
  <c r="F145" i="21"/>
  <c r="F144" i="21"/>
  <c r="F142" i="21"/>
  <c r="F141" i="21"/>
  <c r="F139" i="21"/>
  <c r="F138" i="21"/>
  <c r="F136" i="21"/>
  <c r="F135" i="21"/>
  <c r="F133" i="21"/>
  <c r="F132" i="21"/>
  <c r="F131" i="21"/>
  <c r="F130" i="21"/>
  <c r="F129" i="21"/>
  <c r="F128" i="21"/>
  <c r="F127" i="21"/>
  <c r="F126" i="21"/>
  <c r="F125" i="21"/>
  <c r="F124" i="21"/>
  <c r="F123" i="21"/>
  <c r="F122" i="21"/>
  <c r="F118" i="21"/>
  <c r="F117" i="21"/>
  <c r="F116" i="21"/>
  <c r="F115" i="21"/>
  <c r="F113" i="21"/>
  <c r="F112" i="21"/>
  <c r="F111" i="21"/>
  <c r="F110" i="21"/>
  <c r="F109" i="21"/>
  <c r="F108" i="21"/>
  <c r="F106" i="21"/>
  <c r="F104" i="21"/>
  <c r="F102" i="21"/>
  <c r="F101" i="21"/>
  <c r="F100" i="21"/>
  <c r="F99" i="21"/>
  <c r="F97" i="21"/>
  <c r="F96" i="21"/>
  <c r="F95" i="21"/>
  <c r="F94" i="21"/>
  <c r="F93" i="21"/>
  <c r="F92" i="21"/>
  <c r="F90" i="21"/>
  <c r="F89" i="21"/>
  <c r="F88" i="21"/>
  <c r="F87" i="21"/>
  <c r="F86" i="21"/>
  <c r="F85" i="21"/>
  <c r="F83" i="21"/>
  <c r="F82" i="21"/>
  <c r="F81" i="21"/>
  <c r="F80" i="21"/>
  <c r="F77" i="21"/>
  <c r="F76" i="21"/>
  <c r="F75" i="21"/>
  <c r="F74" i="21"/>
  <c r="F73" i="21"/>
  <c r="F71" i="21"/>
  <c r="F70" i="21"/>
  <c r="F69" i="21"/>
  <c r="F67" i="21"/>
  <c r="F66" i="21"/>
  <c r="F65" i="21"/>
  <c r="F64" i="21"/>
  <c r="F60" i="21"/>
  <c r="F59" i="21"/>
  <c r="F58" i="21"/>
  <c r="F57" i="21"/>
  <c r="F56" i="21"/>
  <c r="F54" i="21"/>
  <c r="F53" i="21"/>
  <c r="F52" i="21"/>
  <c r="F51" i="21"/>
  <c r="F50" i="21"/>
  <c r="F49" i="21"/>
  <c r="F48" i="21"/>
  <c r="F47" i="21"/>
  <c r="F46" i="21"/>
  <c r="F45" i="21"/>
  <c r="F44" i="21"/>
  <c r="F43" i="21"/>
  <c r="F40" i="21"/>
  <c r="F39" i="21"/>
  <c r="F38" i="21"/>
  <c r="F37" i="21"/>
  <c r="F36" i="21"/>
  <c r="F35" i="21"/>
  <c r="F31" i="21"/>
  <c r="F30" i="21"/>
  <c r="F28" i="21"/>
  <c r="F27" i="21"/>
  <c r="F26" i="21"/>
  <c r="F25" i="21"/>
  <c r="F24" i="21"/>
  <c r="F23" i="21"/>
  <c r="F22" i="21"/>
  <c r="F21" i="21"/>
  <c r="F20" i="21"/>
  <c r="F19" i="21"/>
  <c r="F18" i="21"/>
  <c r="F16" i="21"/>
  <c r="F15" i="21"/>
  <c r="F14" i="21"/>
  <c r="F13" i="21"/>
  <c r="F12" i="21"/>
  <c r="F11" i="21"/>
  <c r="F10" i="21"/>
  <c r="F9" i="21"/>
  <c r="I263" i="21"/>
  <c r="I262" i="21"/>
  <c r="I261" i="21"/>
  <c r="I260" i="21"/>
  <c r="I259" i="21"/>
  <c r="H257" i="21"/>
  <c r="I257" i="21" s="1"/>
  <c r="J574" i="21" l="1"/>
  <c r="F623" i="21"/>
  <c r="I611" i="21"/>
  <c r="I593" i="21"/>
  <c r="I500" i="21"/>
  <c r="J500" i="21" s="1"/>
  <c r="T56" i="10" s="1"/>
  <c r="F611" i="21"/>
  <c r="F593" i="21"/>
  <c r="J503" i="21"/>
  <c r="F588" i="21"/>
  <c r="F576" i="21"/>
  <c r="F602" i="21"/>
  <c r="I602" i="21"/>
  <c r="J340" i="21"/>
  <c r="J351" i="21"/>
  <c r="J355" i="21"/>
  <c r="J466" i="21"/>
  <c r="J470" i="21"/>
  <c r="J520" i="21"/>
  <c r="I572" i="21"/>
  <c r="F572" i="21"/>
  <c r="F538" i="21"/>
  <c r="F513" i="21"/>
  <c r="F511" i="21" s="1"/>
  <c r="F505" i="21"/>
  <c r="J13" i="21"/>
  <c r="J44" i="21"/>
  <c r="J57" i="21"/>
  <c r="J146" i="21"/>
  <c r="J283" i="21"/>
  <c r="J48" i="21"/>
  <c r="J151" i="21"/>
  <c r="J192" i="21"/>
  <c r="J497" i="21"/>
  <c r="J19" i="21"/>
  <c r="J65" i="21"/>
  <c r="J197" i="21"/>
  <c r="J117" i="21"/>
  <c r="J164" i="21"/>
  <c r="J201" i="21"/>
  <c r="J205" i="21"/>
  <c r="J216" i="21"/>
  <c r="J25" i="21"/>
  <c r="J83" i="21"/>
  <c r="J88" i="21"/>
  <c r="J93" i="21"/>
  <c r="J97" i="21"/>
  <c r="J102" i="21"/>
  <c r="J129" i="21"/>
  <c r="I492" i="21"/>
  <c r="F492" i="21"/>
  <c r="J461" i="21"/>
  <c r="J494" i="21"/>
  <c r="J338" i="21"/>
  <c r="J342" i="21"/>
  <c r="J353" i="21"/>
  <c r="J498" i="21"/>
  <c r="J499" i="21"/>
  <c r="J495" i="21"/>
  <c r="J458" i="21"/>
  <c r="J339" i="21"/>
  <c r="J343" i="21"/>
  <c r="J350" i="21"/>
  <c r="J354" i="21"/>
  <c r="F452" i="21"/>
  <c r="J515" i="21"/>
  <c r="J542" i="21"/>
  <c r="J552" i="21"/>
  <c r="J20" i="21"/>
  <c r="J50" i="21"/>
  <c r="J519" i="21"/>
  <c r="J573" i="21"/>
  <c r="J493" i="21"/>
  <c r="J496" i="21"/>
  <c r="J118" i="21"/>
  <c r="J202" i="21"/>
  <c r="J206" i="21"/>
  <c r="J288" i="21"/>
  <c r="J292" i="21"/>
  <c r="J507" i="21"/>
  <c r="J578" i="21"/>
  <c r="J378" i="21"/>
  <c r="J89" i="21"/>
  <c r="J94" i="21"/>
  <c r="J130" i="21"/>
  <c r="J173" i="21"/>
  <c r="J245" i="21"/>
  <c r="J467" i="21"/>
  <c r="J471" i="21"/>
  <c r="J501" i="21"/>
  <c r="J504" i="21"/>
  <c r="J543" i="21"/>
  <c r="J553" i="21"/>
  <c r="J631" i="21"/>
  <c r="F371" i="21"/>
  <c r="J10" i="21"/>
  <c r="J14" i="21"/>
  <c r="J45" i="21"/>
  <c r="J58" i="21"/>
  <c r="J70" i="21"/>
  <c r="J136" i="21"/>
  <c r="J193" i="21"/>
  <c r="J266" i="21"/>
  <c r="J558" i="21"/>
  <c r="J595" i="21"/>
  <c r="J606" i="21"/>
  <c r="J613" i="21"/>
  <c r="I264" i="21"/>
  <c r="J145" i="21"/>
  <c r="J155" i="21"/>
  <c r="J329" i="21"/>
  <c r="J115" i="21"/>
  <c r="J277" i="21"/>
  <c r="J289" i="21"/>
  <c r="J454" i="21"/>
  <c r="J508" i="21"/>
  <c r="J539" i="21"/>
  <c r="J579" i="21"/>
  <c r="J626" i="21"/>
  <c r="J301" i="21"/>
  <c r="J375" i="21"/>
  <c r="J81" i="21"/>
  <c r="J544" i="21"/>
  <c r="J555" i="21"/>
  <c r="J559" i="21"/>
  <c r="J596" i="21"/>
  <c r="J603" i="21"/>
  <c r="J608" i="21"/>
  <c r="J300" i="21"/>
  <c r="J376" i="21"/>
  <c r="J27" i="21"/>
  <c r="J95" i="21"/>
  <c r="J210" i="21"/>
  <c r="J227" i="21"/>
  <c r="J246" i="21"/>
  <c r="J557" i="21"/>
  <c r="J569" i="21"/>
  <c r="J594" i="21"/>
  <c r="J605" i="21"/>
  <c r="J610" i="21"/>
  <c r="J612" i="21"/>
  <c r="I91" i="21"/>
  <c r="J372" i="21"/>
  <c r="I371" i="21"/>
  <c r="J86" i="21"/>
  <c r="J100" i="21"/>
  <c r="J46" i="21"/>
  <c r="J54" i="21"/>
  <c r="J71" i="21"/>
  <c r="J148" i="21"/>
  <c r="J190" i="21"/>
  <c r="J459" i="21"/>
  <c r="J575" i="21"/>
  <c r="J90" i="21"/>
  <c r="J11" i="21"/>
  <c r="J59" i="21"/>
  <c r="J124" i="21"/>
  <c r="J194" i="21"/>
  <c r="J16" i="21"/>
  <c r="J21" i="21"/>
  <c r="J154" i="21"/>
  <c r="J337" i="21"/>
  <c r="J341" i="21"/>
  <c r="J352" i="21"/>
  <c r="J460" i="21"/>
  <c r="J518" i="21"/>
  <c r="J522" i="21"/>
  <c r="J571" i="21"/>
  <c r="J23" i="21"/>
  <c r="J204" i="21"/>
  <c r="J278" i="21"/>
  <c r="J290" i="21"/>
  <c r="J295" i="21"/>
  <c r="J509" i="21"/>
  <c r="J580" i="21"/>
  <c r="J628" i="21"/>
  <c r="J101" i="21"/>
  <c r="J128" i="21"/>
  <c r="J465" i="21"/>
  <c r="J469" i="21"/>
  <c r="J502" i="21"/>
  <c r="J541" i="21"/>
  <c r="J545" i="21"/>
  <c r="J297" i="21"/>
  <c r="J12" i="21"/>
  <c r="J73" i="21"/>
  <c r="J133" i="21"/>
  <c r="J282" i="21"/>
  <c r="J556" i="21"/>
  <c r="J568" i="21"/>
  <c r="J597" i="21"/>
  <c r="J604" i="21"/>
  <c r="J609" i="21"/>
  <c r="J235" i="21"/>
  <c r="J299" i="21"/>
  <c r="J377" i="21"/>
  <c r="J374" i="21"/>
  <c r="J373" i="21"/>
  <c r="F143" i="21"/>
  <c r="J144" i="21"/>
  <c r="F243" i="21"/>
  <c r="J244" i="21"/>
  <c r="J260" i="21"/>
  <c r="I256" i="21"/>
  <c r="F137" i="21"/>
  <c r="J158" i="21"/>
  <c r="F170" i="21"/>
  <c r="F208" i="21"/>
  <c r="J209" i="21"/>
  <c r="J281" i="21"/>
  <c r="F79" i="21"/>
  <c r="J80" i="21"/>
  <c r="F84" i="21"/>
  <c r="F98" i="21"/>
  <c r="J99" i="21"/>
  <c r="F103" i="21"/>
  <c r="J103" i="21" s="1"/>
  <c r="J104" i="21"/>
  <c r="F149" i="21"/>
  <c r="J150" i="21"/>
  <c r="J215" i="21"/>
  <c r="F214" i="21"/>
  <c r="F264" i="21"/>
  <c r="J265" i="21"/>
  <c r="F344" i="21"/>
  <c r="I143" i="21"/>
  <c r="I243" i="21"/>
  <c r="J85" i="21"/>
  <c r="J263" i="21"/>
  <c r="F140" i="21"/>
  <c r="J141" i="21"/>
  <c r="F223" i="21"/>
  <c r="J224" i="21"/>
  <c r="J229" i="21"/>
  <c r="J234" i="21"/>
  <c r="F247" i="21"/>
  <c r="F256" i="21"/>
  <c r="J257" i="21"/>
  <c r="J261" i="21"/>
  <c r="J468" i="21"/>
  <c r="I79" i="21"/>
  <c r="I84" i="21"/>
  <c r="I98" i="21"/>
  <c r="F114" i="21"/>
  <c r="J259" i="21"/>
  <c r="F330" i="21"/>
  <c r="F17" i="21"/>
  <c r="J18" i="21"/>
  <c r="J26" i="21"/>
  <c r="J35" i="21"/>
  <c r="J43" i="21"/>
  <c r="J47" i="21"/>
  <c r="J56" i="21"/>
  <c r="J64" i="21"/>
  <c r="J82" i="21"/>
  <c r="J87" i="21"/>
  <c r="F91" i="21"/>
  <c r="J92" i="21"/>
  <c r="J96" i="21"/>
  <c r="J116" i="21"/>
  <c r="J131" i="21"/>
  <c r="J135" i="21"/>
  <c r="J147" i="21"/>
  <c r="J152" i="21"/>
  <c r="J156" i="21"/>
  <c r="J174" i="21"/>
  <c r="J183" i="21"/>
  <c r="J191" i="21"/>
  <c r="J195" i="21"/>
  <c r="J203" i="21"/>
  <c r="J207" i="21"/>
  <c r="J230" i="21"/>
  <c r="J239" i="21"/>
  <c r="J249" i="21"/>
  <c r="J258" i="21"/>
  <c r="J262" i="21"/>
  <c r="J279" i="21"/>
  <c r="J291" i="21"/>
  <c r="J304" i="21"/>
  <c r="F303" i="21"/>
  <c r="J334" i="21"/>
  <c r="J349" i="21"/>
  <c r="I114" i="21"/>
  <c r="F238" i="21"/>
  <c r="J238" i="21" s="1"/>
  <c r="T15" i="13" s="1"/>
  <c r="I298" i="21"/>
  <c r="J302" i="21"/>
  <c r="J296" i="21"/>
  <c r="F298" i="21"/>
  <c r="F293" i="21"/>
  <c r="I293" i="21"/>
  <c r="J294" i="21"/>
  <c r="F241" i="21" l="1"/>
  <c r="F240" i="21" s="1"/>
  <c r="B645" i="21" s="1"/>
  <c r="J492" i="21"/>
  <c r="T55" i="10" s="1"/>
  <c r="F591" i="21"/>
  <c r="I591" i="21"/>
  <c r="J264" i="21"/>
  <c r="T14" i="4" s="1"/>
  <c r="U14" i="4" s="1"/>
  <c r="J91" i="21"/>
  <c r="J371" i="21"/>
  <c r="T29" i="10" s="1"/>
  <c r="J256" i="21"/>
  <c r="T13" i="4" s="1"/>
  <c r="U13" i="4" s="1"/>
  <c r="J98" i="21"/>
  <c r="J293" i="21"/>
  <c r="J84" i="21"/>
  <c r="J143" i="21"/>
  <c r="J114" i="21"/>
  <c r="J298" i="21"/>
  <c r="T13" i="10" s="1"/>
  <c r="U13" i="10" s="1"/>
  <c r="J79" i="21"/>
  <c r="J243" i="21"/>
  <c r="D236" i="21"/>
  <c r="D231" i="21"/>
  <c r="U29" i="10" l="1"/>
  <c r="U40" i="10" s="1"/>
  <c r="T12" i="10"/>
  <c r="U12" i="10" s="1"/>
  <c r="I236" i="21"/>
  <c r="F236" i="21"/>
  <c r="I231" i="21"/>
  <c r="F231" i="21"/>
  <c r="I237" i="21"/>
  <c r="F237" i="21"/>
  <c r="I232" i="21"/>
  <c r="F232" i="21"/>
  <c r="H225" i="21"/>
  <c r="H138" i="21"/>
  <c r="I138" i="21" s="1"/>
  <c r="E107" i="21"/>
  <c r="F107" i="21" s="1"/>
  <c r="F78" i="21"/>
  <c r="J78" i="21" s="1"/>
  <c r="H28" i="21"/>
  <c r="I28" i="21" s="1"/>
  <c r="J28" i="21" s="1"/>
  <c r="H24" i="21"/>
  <c r="I24" i="21" s="1"/>
  <c r="J24" i="21" s="1"/>
  <c r="H22" i="21"/>
  <c r="I22" i="21" s="1"/>
  <c r="J232" i="21" l="1"/>
  <c r="J237" i="21"/>
  <c r="J236" i="21"/>
  <c r="I17" i="21"/>
  <c r="J17" i="21" s="1"/>
  <c r="J22" i="21"/>
  <c r="F105" i="21"/>
  <c r="F233" i="21"/>
  <c r="J138" i="21"/>
  <c r="J231" i="21"/>
  <c r="F228" i="21"/>
  <c r="H226" i="21"/>
  <c r="I226" i="21" s="1"/>
  <c r="J226" i="21" s="1"/>
  <c r="I225" i="21"/>
  <c r="I228" i="21"/>
  <c r="I233" i="21"/>
  <c r="F221" i="21" l="1"/>
  <c r="F220" i="21" s="1"/>
  <c r="B644" i="21" s="1"/>
  <c r="J228" i="21"/>
  <c r="T13" i="13" s="1"/>
  <c r="U13" i="13" s="1"/>
  <c r="J233" i="21"/>
  <c r="T14" i="13" s="1"/>
  <c r="U14" i="13" s="1"/>
  <c r="J225" i="21"/>
  <c r="I223" i="21"/>
  <c r="J223" i="21" l="1"/>
  <c r="T12" i="13" s="1"/>
  <c r="U12" i="13" s="1"/>
  <c r="I221" i="21"/>
  <c r="I220" i="21" s="1"/>
  <c r="C644" i="21" s="1"/>
  <c r="A79" i="21" l="1"/>
  <c r="A55" i="21"/>
  <c r="A29" i="21"/>
  <c r="A17" i="21"/>
  <c r="A84" i="21"/>
  <c r="A214" i="21" l="1"/>
  <c r="A208" i="21"/>
  <c r="A8" i="21" l="1"/>
  <c r="D17" i="33" l="1"/>
  <c r="H153" i="21"/>
  <c r="I153" i="21" s="1"/>
  <c r="E200" i="21"/>
  <c r="F200" i="21" s="1"/>
  <c r="J200" i="21" s="1"/>
  <c r="E199" i="21"/>
  <c r="F199" i="21" s="1"/>
  <c r="J199" i="21" s="1"/>
  <c r="E198" i="21"/>
  <c r="F198" i="21" s="1"/>
  <c r="J198" i="21" s="1"/>
  <c r="H196" i="21"/>
  <c r="I196" i="21" s="1"/>
  <c r="J196" i="21" s="1"/>
  <c r="H189" i="21"/>
  <c r="I189" i="21" s="1"/>
  <c r="J189" i="21" s="1"/>
  <c r="H188" i="21"/>
  <c r="I188" i="21" s="1"/>
  <c r="J188" i="21" s="1"/>
  <c r="H187" i="21"/>
  <c r="I187" i="21" s="1"/>
  <c r="J187" i="21" s="1"/>
  <c r="H186" i="21"/>
  <c r="I186" i="21" s="1"/>
  <c r="J186" i="21" s="1"/>
  <c r="H185" i="21"/>
  <c r="I185" i="21" s="1"/>
  <c r="J185" i="21" s="1"/>
  <c r="H184" i="21"/>
  <c r="I184" i="21" s="1"/>
  <c r="J184" i="21" s="1"/>
  <c r="H182" i="21"/>
  <c r="I182" i="21" s="1"/>
  <c r="J182" i="21" s="1"/>
  <c r="H181" i="21"/>
  <c r="I181" i="21" s="1"/>
  <c r="J181" i="21" s="1"/>
  <c r="E180" i="21"/>
  <c r="F180" i="21" s="1"/>
  <c r="J180" i="21" s="1"/>
  <c r="E179" i="21"/>
  <c r="F179" i="21" s="1"/>
  <c r="H178" i="21"/>
  <c r="I178" i="21" s="1"/>
  <c r="J178" i="21" s="1"/>
  <c r="H177" i="21"/>
  <c r="I177" i="21" s="1"/>
  <c r="H175" i="21"/>
  <c r="I175" i="21" s="1"/>
  <c r="J175" i="21" s="1"/>
  <c r="H172" i="21"/>
  <c r="I172" i="21" s="1"/>
  <c r="J172" i="21" s="1"/>
  <c r="H171" i="21"/>
  <c r="I171" i="21" s="1"/>
  <c r="E169" i="21"/>
  <c r="F169" i="21" s="1"/>
  <c r="E168" i="21"/>
  <c r="F168" i="21" s="1"/>
  <c r="H165" i="21"/>
  <c r="I165" i="21" s="1"/>
  <c r="J165" i="21" s="1"/>
  <c r="H166" i="21"/>
  <c r="I166" i="21" s="1"/>
  <c r="J166" i="21" s="1"/>
  <c r="H163" i="21"/>
  <c r="I163" i="21" s="1"/>
  <c r="J163" i="21" s="1"/>
  <c r="H162" i="21"/>
  <c r="I162" i="21" s="1"/>
  <c r="J162" i="21" s="1"/>
  <c r="E161" i="21"/>
  <c r="F161" i="21" s="1"/>
  <c r="J161" i="21" s="1"/>
  <c r="E160" i="21"/>
  <c r="F160" i="21" s="1"/>
  <c r="H159" i="21"/>
  <c r="I159" i="21" s="1"/>
  <c r="A157" i="21"/>
  <c r="D134" i="21"/>
  <c r="H132" i="21"/>
  <c r="I132" i="21" s="1"/>
  <c r="J132" i="21" s="1"/>
  <c r="H127" i="21"/>
  <c r="I127" i="21" s="1"/>
  <c r="J127" i="21" s="1"/>
  <c r="H126" i="21"/>
  <c r="I126" i="21" s="1"/>
  <c r="J126" i="21" s="1"/>
  <c r="H125" i="21"/>
  <c r="I125" i="21" s="1"/>
  <c r="J125" i="21" s="1"/>
  <c r="H123" i="21"/>
  <c r="I123" i="21" s="1"/>
  <c r="J123" i="21" s="1"/>
  <c r="H122" i="21"/>
  <c r="I122" i="21" s="1"/>
  <c r="A114" i="21"/>
  <c r="H53" i="21"/>
  <c r="I53" i="21" s="1"/>
  <c r="J53" i="21" s="1"/>
  <c r="H52" i="21"/>
  <c r="I52" i="21" s="1"/>
  <c r="J52" i="21" s="1"/>
  <c r="H51" i="21"/>
  <c r="I51" i="21" s="1"/>
  <c r="J51" i="21" s="1"/>
  <c r="H49" i="21"/>
  <c r="I49" i="21" s="1"/>
  <c r="J49" i="21" s="1"/>
  <c r="E42" i="21"/>
  <c r="F42" i="21" s="1"/>
  <c r="J42" i="21" s="1"/>
  <c r="E41" i="21"/>
  <c r="F41" i="21" s="1"/>
  <c r="J41" i="21" s="1"/>
  <c r="H40" i="21"/>
  <c r="I40" i="21" s="1"/>
  <c r="J40" i="21" s="1"/>
  <c r="H39" i="21"/>
  <c r="I39" i="21" s="1"/>
  <c r="J39" i="21" s="1"/>
  <c r="H38" i="21"/>
  <c r="I38" i="21" s="1"/>
  <c r="J38" i="21" s="1"/>
  <c r="H37" i="21"/>
  <c r="I37" i="21" s="1"/>
  <c r="J37" i="21" s="1"/>
  <c r="H36" i="21"/>
  <c r="I36" i="21" s="1"/>
  <c r="J36" i="21" s="1"/>
  <c r="E34" i="21"/>
  <c r="F34" i="21" s="1"/>
  <c r="E33" i="21"/>
  <c r="F33" i="21" s="1"/>
  <c r="E32" i="21"/>
  <c r="F32" i="21" s="1"/>
  <c r="A500" i="21"/>
  <c r="A492" i="21"/>
  <c r="A371" i="21"/>
  <c r="A298" i="21"/>
  <c r="A293" i="21"/>
  <c r="A264" i="21"/>
  <c r="A256" i="21"/>
  <c r="H113" i="21"/>
  <c r="I113" i="21" s="1"/>
  <c r="J113" i="21" s="1"/>
  <c r="H112" i="21"/>
  <c r="I112" i="21" s="1"/>
  <c r="J112" i="21" s="1"/>
  <c r="H111" i="21"/>
  <c r="I111" i="21" s="1"/>
  <c r="J111" i="21" s="1"/>
  <c r="I110" i="21"/>
  <c r="J110" i="21" s="1"/>
  <c r="H109" i="21"/>
  <c r="I109" i="21" s="1"/>
  <c r="J109" i="21" s="1"/>
  <c r="H108" i="21"/>
  <c r="I108" i="21" s="1"/>
  <c r="J108" i="21" s="1"/>
  <c r="H107" i="21"/>
  <c r="I107" i="21" s="1"/>
  <c r="J107" i="21" s="1"/>
  <c r="H106" i="21"/>
  <c r="I106" i="21" s="1"/>
  <c r="H248" i="21"/>
  <c r="I248" i="21" s="1"/>
  <c r="I506" i="21"/>
  <c r="H464" i="21"/>
  <c r="I464" i="21" s="1"/>
  <c r="J464" i="21" s="1"/>
  <c r="H514" i="21"/>
  <c r="I514" i="21" s="1"/>
  <c r="H624" i="21"/>
  <c r="I624" i="21" s="1"/>
  <c r="H629" i="21"/>
  <c r="I629" i="21" s="1"/>
  <c r="H625" i="21"/>
  <c r="I625" i="21" s="1"/>
  <c r="J625" i="21" s="1"/>
  <c r="H77" i="21"/>
  <c r="I77" i="21" s="1"/>
  <c r="J77" i="21" s="1"/>
  <c r="H76" i="21"/>
  <c r="I76" i="21" s="1"/>
  <c r="J76" i="21" s="1"/>
  <c r="H75" i="21"/>
  <c r="I75" i="21" s="1"/>
  <c r="J75" i="21" s="1"/>
  <c r="I74" i="21"/>
  <c r="J74" i="21" s="1"/>
  <c r="H69" i="21"/>
  <c r="I69" i="21" s="1"/>
  <c r="D72" i="21"/>
  <c r="H15" i="21"/>
  <c r="I15" i="21" s="1"/>
  <c r="J15" i="21" s="1"/>
  <c r="H67" i="21"/>
  <c r="I67" i="21" s="1"/>
  <c r="J67" i="21" s="1"/>
  <c r="H66" i="21"/>
  <c r="I66" i="21" s="1"/>
  <c r="J66" i="21" s="1"/>
  <c r="H63" i="21"/>
  <c r="I63" i="21" s="1"/>
  <c r="H62" i="21"/>
  <c r="I62" i="21" s="1"/>
  <c r="D61" i="21"/>
  <c r="H60" i="21"/>
  <c r="I60" i="21" s="1"/>
  <c r="H34" i="21"/>
  <c r="I34" i="21" s="1"/>
  <c r="H33" i="21"/>
  <c r="I33" i="21" s="1"/>
  <c r="H31" i="21"/>
  <c r="I31" i="21" s="1"/>
  <c r="J31" i="21" s="1"/>
  <c r="I9" i="21"/>
  <c r="D565" i="21"/>
  <c r="D566" i="21"/>
  <c r="D567" i="21"/>
  <c r="I570" i="21"/>
  <c r="J570" i="21" s="1"/>
  <c r="H577" i="21"/>
  <c r="I577" i="21" s="1"/>
  <c r="I576" i="21" s="1"/>
  <c r="H589" i="21"/>
  <c r="I589" i="21" s="1"/>
  <c r="H590" i="21"/>
  <c r="I590" i="21" s="1"/>
  <c r="J590" i="21" s="1"/>
  <c r="D630" i="21"/>
  <c r="H516" i="21"/>
  <c r="I516" i="21" s="1"/>
  <c r="J516" i="21" s="1"/>
  <c r="H517" i="21"/>
  <c r="I517" i="21" s="1"/>
  <c r="J517" i="21" s="1"/>
  <c r="I521" i="21"/>
  <c r="J521" i="21" s="1"/>
  <c r="H540" i="21"/>
  <c r="I540" i="21" s="1"/>
  <c r="I554" i="21"/>
  <c r="D271" i="21"/>
  <c r="D272" i="21"/>
  <c r="D273" i="21"/>
  <c r="D274" i="21"/>
  <c r="I275" i="21"/>
  <c r="J275" i="21" s="1"/>
  <c r="I276" i="21"/>
  <c r="J276" i="21" s="1"/>
  <c r="D284" i="21"/>
  <c r="D285" i="21"/>
  <c r="H286" i="21"/>
  <c r="I286" i="21" s="1"/>
  <c r="J286" i="21" s="1"/>
  <c r="H287" i="21"/>
  <c r="I287" i="21" s="1"/>
  <c r="J287" i="21" s="1"/>
  <c r="H305" i="21"/>
  <c r="I305" i="21" s="1"/>
  <c r="H306" i="21"/>
  <c r="I306" i="21" s="1"/>
  <c r="J306" i="21" s="1"/>
  <c r="H307" i="21"/>
  <c r="I307" i="21" s="1"/>
  <c r="J307" i="21" s="1"/>
  <c r="I325" i="21"/>
  <c r="D326" i="21"/>
  <c r="H327" i="21"/>
  <c r="I327" i="21" s="1"/>
  <c r="J327" i="21" s="1"/>
  <c r="H328" i="21"/>
  <c r="I328" i="21" s="1"/>
  <c r="J328" i="21" s="1"/>
  <c r="H331" i="21"/>
  <c r="H333" i="21"/>
  <c r="I333" i="21" s="1"/>
  <c r="J333" i="21" s="1"/>
  <c r="H335" i="21"/>
  <c r="I335" i="21" s="1"/>
  <c r="J335" i="21" s="1"/>
  <c r="H336" i="21"/>
  <c r="I336" i="21" s="1"/>
  <c r="J336" i="21" s="1"/>
  <c r="I345" i="21"/>
  <c r="I347" i="21"/>
  <c r="J347" i="21" s="1"/>
  <c r="I348" i="21"/>
  <c r="J348" i="21" s="1"/>
  <c r="H250" i="21"/>
  <c r="I250" i="21" s="1"/>
  <c r="J250" i="21" s="1"/>
  <c r="H251" i="21"/>
  <c r="I251" i="21" s="1"/>
  <c r="J251" i="21" s="1"/>
  <c r="H252" i="21"/>
  <c r="I252" i="21" s="1"/>
  <c r="J252" i="21" s="1"/>
  <c r="H253" i="21"/>
  <c r="I253" i="21" s="1"/>
  <c r="J253" i="21" s="1"/>
  <c r="H254" i="21"/>
  <c r="I254" i="21" s="1"/>
  <c r="J254" i="21" s="1"/>
  <c r="H255" i="21"/>
  <c r="I255" i="21" s="1"/>
  <c r="J255" i="21" s="1"/>
  <c r="H30" i="21"/>
  <c r="I30" i="21" s="1"/>
  <c r="H139" i="21"/>
  <c r="I139" i="21" s="1"/>
  <c r="H142" i="21"/>
  <c r="I142" i="21" s="1"/>
  <c r="H168" i="21"/>
  <c r="I168" i="21" s="1"/>
  <c r="H169" i="21"/>
  <c r="I169" i="21" s="1"/>
  <c r="H211" i="21"/>
  <c r="I211" i="21" s="1"/>
  <c r="H212" i="21"/>
  <c r="I212" i="21" s="1"/>
  <c r="J212" i="21" s="1"/>
  <c r="H213" i="21"/>
  <c r="I213" i="21" s="1"/>
  <c r="J213" i="21" s="1"/>
  <c r="H217" i="21"/>
  <c r="I217" i="21" s="1"/>
  <c r="H218" i="21"/>
  <c r="I218" i="21" s="1"/>
  <c r="J218" i="21" s="1"/>
  <c r="H219" i="21"/>
  <c r="I219" i="21" s="1"/>
  <c r="J219" i="21" s="1"/>
  <c r="E62" i="21"/>
  <c r="F62" i="21" s="1"/>
  <c r="E63" i="21"/>
  <c r="F63" i="21" s="1"/>
  <c r="H453" i="21"/>
  <c r="I453" i="21" s="1"/>
  <c r="H455" i="21"/>
  <c r="I455" i="21" s="1"/>
  <c r="J455" i="21" s="1"/>
  <c r="H456" i="21"/>
  <c r="I456" i="21" s="1"/>
  <c r="J456" i="21" s="1"/>
  <c r="H457" i="21"/>
  <c r="I457" i="21" s="1"/>
  <c r="J457" i="21" s="1"/>
  <c r="H462" i="21"/>
  <c r="I462" i="21" s="1"/>
  <c r="J462" i="21" s="1"/>
  <c r="A505" i="21"/>
  <c r="A330" i="21"/>
  <c r="A611" i="21"/>
  <c r="A140" i="21"/>
  <c r="D11" i="33"/>
  <c r="A463" i="21"/>
  <c r="A452" i="21"/>
  <c r="A344" i="21"/>
  <c r="A280" i="21"/>
  <c r="A572" i="21"/>
  <c r="A588" i="21"/>
  <c r="A576" i="21"/>
  <c r="A564" i="21"/>
  <c r="A303" i="21"/>
  <c r="A270" i="21"/>
  <c r="A247" i="21"/>
  <c r="A243" i="21"/>
  <c r="A238" i="21"/>
  <c r="A233" i="21"/>
  <c r="A228" i="21"/>
  <c r="A223" i="21"/>
  <c r="A176" i="21"/>
  <c r="A170" i="21"/>
  <c r="A149" i="21"/>
  <c r="A143" i="21"/>
  <c r="A137" i="21"/>
  <c r="A103" i="21"/>
  <c r="A98" i="21"/>
  <c r="A91" i="21"/>
  <c r="D19" i="33"/>
  <c r="A6" i="22"/>
  <c r="A20" i="22"/>
  <c r="A33" i="22"/>
  <c r="A5" i="14"/>
  <c r="A17" i="14"/>
  <c r="A4" i="10"/>
  <c r="A23" i="10"/>
  <c r="A43" i="10"/>
  <c r="A2" i="4"/>
  <c r="A2" i="10" s="1"/>
  <c r="A2" i="14" s="1"/>
  <c r="A2" i="22" s="1"/>
  <c r="A3" i="4"/>
  <c r="A3" i="10" s="1"/>
  <c r="A3" i="14" s="1"/>
  <c r="A3" i="22" s="1"/>
  <c r="A4" i="4"/>
  <c r="A3" i="2"/>
  <c r="J554" i="21" l="1"/>
  <c r="I551" i="21"/>
  <c r="J325" i="21"/>
  <c r="J589" i="21"/>
  <c r="I588" i="21"/>
  <c r="J577" i="21"/>
  <c r="J629" i="21"/>
  <c r="J624" i="21"/>
  <c r="I623" i="21"/>
  <c r="J540" i="21"/>
  <c r="I538" i="21"/>
  <c r="J514" i="21"/>
  <c r="I513" i="21"/>
  <c r="I511" i="21" s="1"/>
  <c r="J506" i="21"/>
  <c r="I505" i="21"/>
  <c r="J453" i="21"/>
  <c r="I452" i="21"/>
  <c r="J62" i="21"/>
  <c r="J169" i="21"/>
  <c r="I140" i="21"/>
  <c r="J140" i="21" s="1"/>
  <c r="J142" i="21"/>
  <c r="J9" i="21"/>
  <c r="I8" i="21"/>
  <c r="J122" i="21"/>
  <c r="J159" i="21"/>
  <c r="I176" i="21"/>
  <c r="J177" i="21"/>
  <c r="J211" i="21"/>
  <c r="I208" i="21"/>
  <c r="J208" i="21" s="1"/>
  <c r="J139" i="21"/>
  <c r="I137" i="21"/>
  <c r="J137" i="21" s="1"/>
  <c r="F326" i="21"/>
  <c r="I326" i="21"/>
  <c r="F271" i="21"/>
  <c r="I271" i="21"/>
  <c r="I61" i="21"/>
  <c r="I55" i="21" s="1"/>
  <c r="F61" i="21"/>
  <c r="J33" i="21"/>
  <c r="J160" i="21"/>
  <c r="F157" i="21"/>
  <c r="I170" i="21"/>
  <c r="J170" i="21" s="1"/>
  <c r="J171" i="21"/>
  <c r="I149" i="21"/>
  <c r="J149" i="21" s="1"/>
  <c r="J153" i="21"/>
  <c r="J345" i="21"/>
  <c r="H332" i="21"/>
  <c r="I332" i="21" s="1"/>
  <c r="J332" i="21" s="1"/>
  <c r="I331" i="21"/>
  <c r="I303" i="21"/>
  <c r="J303" i="21" s="1"/>
  <c r="T14" i="10" s="1"/>
  <c r="U14" i="10" s="1"/>
  <c r="J305" i="21"/>
  <c r="I285" i="21"/>
  <c r="F285" i="21"/>
  <c r="I273" i="21"/>
  <c r="F273" i="21"/>
  <c r="I630" i="21"/>
  <c r="I627" i="21" s="1"/>
  <c r="F630" i="21"/>
  <c r="F627" i="21" s="1"/>
  <c r="F621" i="21" s="1"/>
  <c r="I72" i="21"/>
  <c r="I68" i="21" s="1"/>
  <c r="F72" i="21"/>
  <c r="I105" i="21"/>
  <c r="J105" i="21" s="1"/>
  <c r="J106" i="21"/>
  <c r="J168" i="21"/>
  <c r="F284" i="21"/>
  <c r="I284" i="21"/>
  <c r="F272" i="21"/>
  <c r="I272" i="21"/>
  <c r="F566" i="21"/>
  <c r="I566" i="21"/>
  <c r="J60" i="21"/>
  <c r="J69" i="21"/>
  <c r="J32" i="21"/>
  <c r="F29" i="21"/>
  <c r="J63" i="21"/>
  <c r="I214" i="21"/>
  <c r="J214" i="21" s="1"/>
  <c r="J217" i="21"/>
  <c r="I29" i="21"/>
  <c r="J30" i="21"/>
  <c r="I274" i="21"/>
  <c r="F274" i="21"/>
  <c r="I567" i="21"/>
  <c r="F567" i="21"/>
  <c r="I565" i="21"/>
  <c r="F565" i="21"/>
  <c r="I247" i="21"/>
  <c r="I241" i="21" s="1"/>
  <c r="J248" i="21"/>
  <c r="J34" i="21"/>
  <c r="I134" i="21"/>
  <c r="I121" i="21" s="1"/>
  <c r="F134" i="21"/>
  <c r="J179" i="21"/>
  <c r="F176" i="21"/>
  <c r="H167" i="21"/>
  <c r="I167" i="21" s="1"/>
  <c r="J167" i="21" s="1"/>
  <c r="H346" i="21"/>
  <c r="I346" i="21" s="1"/>
  <c r="J346" i="21" s="1"/>
  <c r="T11" i="4"/>
  <c r="I463" i="21"/>
  <c r="T17" i="2"/>
  <c r="I6" i="21" l="1"/>
  <c r="I321" i="21"/>
  <c r="F321" i="21"/>
  <c r="I451" i="21"/>
  <c r="J274" i="21"/>
  <c r="I621" i="21"/>
  <c r="J247" i="21"/>
  <c r="T12" i="4" s="1"/>
  <c r="I240" i="21"/>
  <c r="C645" i="21" s="1"/>
  <c r="J565" i="21"/>
  <c r="F564" i="21"/>
  <c r="F562" i="21" s="1"/>
  <c r="F561" i="21" s="1"/>
  <c r="B648" i="21" s="1"/>
  <c r="I564" i="21"/>
  <c r="I562" i="21" s="1"/>
  <c r="I536" i="21" s="1"/>
  <c r="I510" i="21" s="1"/>
  <c r="C647" i="21" s="1"/>
  <c r="J176" i="21"/>
  <c r="J273" i="21"/>
  <c r="I157" i="21"/>
  <c r="J157" i="21" s="1"/>
  <c r="I280" i="21"/>
  <c r="J326" i="21"/>
  <c r="J272" i="21"/>
  <c r="J134" i="21"/>
  <c r="F121" i="21"/>
  <c r="F119" i="21" s="1"/>
  <c r="J29" i="21"/>
  <c r="I344" i="21"/>
  <c r="J344" i="21" s="1"/>
  <c r="T18" i="10" s="1"/>
  <c r="U18" i="10" s="1"/>
  <c r="J61" i="21"/>
  <c r="F55" i="21"/>
  <c r="J55" i="21" s="1"/>
  <c r="I270" i="21"/>
  <c r="I268" i="21" s="1"/>
  <c r="J284" i="21"/>
  <c r="F280" i="21"/>
  <c r="J72" i="21"/>
  <c r="F68" i="21"/>
  <c r="J68" i="21" s="1"/>
  <c r="J567" i="21"/>
  <c r="J566" i="21"/>
  <c r="J630" i="21"/>
  <c r="J285" i="21"/>
  <c r="I330" i="21"/>
  <c r="J330" i="21" s="1"/>
  <c r="T17" i="10" s="1"/>
  <c r="U17" i="10" s="1"/>
  <c r="J331" i="21"/>
  <c r="F270" i="21"/>
  <c r="J271" i="21"/>
  <c r="T26" i="14"/>
  <c r="I119" i="21" l="1"/>
  <c r="I5" i="21" s="1"/>
  <c r="C643" i="21" s="1"/>
  <c r="F268" i="21"/>
  <c r="I267" i="21"/>
  <c r="I561" i="21"/>
  <c r="C648" i="21" s="1"/>
  <c r="D648" i="21" s="1"/>
  <c r="J321" i="21"/>
  <c r="T16" i="10" s="1"/>
  <c r="U16" i="10" s="1"/>
  <c r="J121" i="21"/>
  <c r="T33" i="2" s="1"/>
  <c r="J280" i="21"/>
  <c r="J270" i="21"/>
  <c r="U16" i="13"/>
  <c r="T11" i="10" l="1"/>
  <c r="U11" i="10" s="1"/>
  <c r="C646" i="21"/>
  <c r="F8" i="21"/>
  <c r="F6" i="21" s="1"/>
  <c r="T12" i="2"/>
  <c r="T13" i="2"/>
  <c r="J8" i="21" l="1"/>
  <c r="T11" i="2" s="1"/>
  <c r="T15" i="2"/>
  <c r="T14" i="2"/>
  <c r="T20" i="2"/>
  <c r="T18" i="2"/>
  <c r="U17" i="2" s="1"/>
  <c r="T21" i="2" l="1"/>
  <c r="T19" i="2"/>
  <c r="U19" i="2" s="1"/>
  <c r="T16" i="2"/>
  <c r="U11" i="2" s="1"/>
  <c r="T22" i="2"/>
  <c r="U23" i="2" l="1"/>
  <c r="T34" i="2"/>
  <c r="T37" i="2"/>
  <c r="T39" i="2"/>
  <c r="T36" i="2"/>
  <c r="T38" i="2" l="1"/>
  <c r="T35" i="2"/>
  <c r="U34" i="2" s="1"/>
  <c r="J119" i="21" l="1"/>
  <c r="U33" i="2"/>
  <c r="J6" i="21" l="1"/>
  <c r="F5" i="21"/>
  <c r="B643" i="21" s="1"/>
  <c r="J5" i="21" l="1"/>
  <c r="D643" i="21" l="1"/>
  <c r="J627" i="21" l="1"/>
  <c r="T40" i="22" s="1"/>
  <c r="J623" i="21" l="1"/>
  <c r="T39" i="22" s="1"/>
  <c r="J621" i="21" l="1"/>
  <c r="U39" i="22" l="1"/>
  <c r="U41" i="22"/>
  <c r="J611" i="21"/>
  <c r="T29" i="22" s="1"/>
  <c r="J602" i="21" l="1"/>
  <c r="T28" i="22" s="1"/>
  <c r="J593" i="21" l="1"/>
  <c r="T27" i="22" s="1"/>
  <c r="J591" i="21" l="1"/>
  <c r="J588" i="21" l="1"/>
  <c r="T17" i="22" s="1"/>
  <c r="U27" i="22"/>
  <c r="U30" i="22"/>
  <c r="J576" i="21" l="1"/>
  <c r="T15" i="22" s="1"/>
  <c r="J572" i="21" l="1"/>
  <c r="T14" i="22" s="1"/>
  <c r="F551" i="21"/>
  <c r="F536" i="21" s="1"/>
  <c r="F510" i="21" s="1"/>
  <c r="B647" i="21" s="1"/>
  <c r="J551" i="21" l="1"/>
  <c r="J538" i="21" l="1"/>
  <c r="T24" i="14" s="1"/>
  <c r="U27" i="14" l="1"/>
  <c r="U24" i="14"/>
  <c r="J536" i="21" l="1"/>
  <c r="J513" i="21" l="1"/>
  <c r="T12" i="14" s="1"/>
  <c r="U15" i="14" l="1"/>
  <c r="U28" i="14" s="1"/>
  <c r="J511" i="21" l="1"/>
  <c r="J510" i="21" l="1"/>
  <c r="D647" i="21" s="1"/>
  <c r="F463" i="21" l="1"/>
  <c r="J505" i="21"/>
  <c r="T57" i="10" s="1"/>
  <c r="F451" i="21" l="1"/>
  <c r="J463" i="21"/>
  <c r="T51" i="10" s="1"/>
  <c r="T10" i="10"/>
  <c r="U10" i="10" s="1"/>
  <c r="U21" i="10" s="1"/>
  <c r="F267" i="21" l="1"/>
  <c r="B646" i="21" s="1"/>
  <c r="J451" i="21"/>
  <c r="J268" i="21"/>
  <c r="J267" i="21" l="1"/>
  <c r="D646" i="21"/>
  <c r="C649" i="21"/>
  <c r="I633" i="21" s="1"/>
  <c r="U11" i="4" l="1"/>
  <c r="U15" i="4" s="1"/>
  <c r="J241" i="21" l="1"/>
  <c r="J240" i="21" l="1"/>
  <c r="D645" i="21" l="1"/>
  <c r="D644" i="21"/>
  <c r="B649" i="21" l="1"/>
  <c r="D649" i="21"/>
  <c r="J220" i="21"/>
  <c r="J221" i="21"/>
  <c r="T42" i="2"/>
  <c r="U42" i="2" s="1"/>
  <c r="F633" i="21" l="1"/>
  <c r="J633" i="21" s="1"/>
  <c r="T41" i="2"/>
  <c r="U41" i="2" s="1"/>
  <c r="T40" i="2" l="1"/>
  <c r="J452" i="21"/>
  <c r="J564" i="21"/>
  <c r="T13" i="22" s="1"/>
  <c r="J561" i="21"/>
  <c r="U13" i="22" l="1"/>
  <c r="U18" i="22"/>
  <c r="U42" i="22" s="1"/>
  <c r="T50" i="10"/>
  <c r="U37" i="2"/>
  <c r="U43" i="2" s="1"/>
  <c r="U44" i="2" s="1"/>
  <c r="J562" i="21"/>
  <c r="U50" i="10" l="1"/>
  <c r="U58" i="10"/>
  <c r="U59" i="10" s="1"/>
</calcChain>
</file>

<file path=xl/comments1.xml><?xml version="1.0" encoding="utf-8"?>
<comments xmlns="http://schemas.openxmlformats.org/spreadsheetml/2006/main">
  <authors>
    <author>Oseas Obed Hoil Bertruy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Oseas Obed Hoil Bertruy:</t>
        </r>
        <r>
          <rPr>
            <sz val="9"/>
            <color indexed="81"/>
            <rFont val="Tahoma"/>
            <family val="2"/>
          </rPr>
          <t xml:space="preserve">
Monitoreo Bosques Socioeconomico, Impacto de la apicultura (Consultoria)</t>
        </r>
      </text>
    </comment>
  </commentList>
</comments>
</file>

<file path=xl/sharedStrings.xml><?xml version="1.0" encoding="utf-8"?>
<sst xmlns="http://schemas.openxmlformats.org/spreadsheetml/2006/main" count="2662" uniqueCount="504">
  <si>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</si>
  <si>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</si>
  <si>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</si>
  <si>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</si>
  <si>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</si>
  <si>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</si>
  <si>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</si>
  <si>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</si>
  <si>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</si>
  <si>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</si>
  <si>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</si>
  <si>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</si>
  <si>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Financiamiento</t>
  </si>
  <si>
    <t>TOTAL</t>
  </si>
  <si>
    <t>No.</t>
  </si>
  <si>
    <t>CONSEJO NACIONAL DE AREA PROTEGIDAS -CONAP-</t>
  </si>
  <si>
    <t>Ubicación Geografica</t>
  </si>
  <si>
    <t>Meses</t>
  </si>
  <si>
    <t>Monto</t>
  </si>
  <si>
    <t>CONSEJO NACIONAL DE AREAS PROTEGIDAS -CONAP-</t>
  </si>
  <si>
    <t>Ubicación Geográfica</t>
  </si>
  <si>
    <t>Código</t>
  </si>
  <si>
    <t>RUBROS</t>
  </si>
  <si>
    <t>COSTO/ UNIDAD/Q.</t>
  </si>
  <si>
    <t>Reglon Presupuestario</t>
  </si>
  <si>
    <t>COD</t>
  </si>
  <si>
    <t>No. UNIDAD</t>
  </si>
  <si>
    <t>COSTO (Q)</t>
  </si>
  <si>
    <t>unidad</t>
  </si>
  <si>
    <t>Codigo de Donante</t>
  </si>
  <si>
    <t>UNIDADES</t>
  </si>
  <si>
    <t>PNSL</t>
  </si>
  <si>
    <t>X</t>
  </si>
  <si>
    <t>PARQUE NACIONAL SIERRA DEL LACANDÓN, RESERVA DE BIOSFERA MAYA</t>
  </si>
  <si>
    <t>Director PNSL</t>
  </si>
  <si>
    <t xml:space="preserve">Informes Técnicos  </t>
  </si>
  <si>
    <t>Expedientes legales</t>
  </si>
  <si>
    <t xml:space="preserve">Documento </t>
  </si>
  <si>
    <t>Memorias de talleres</t>
  </si>
  <si>
    <t>4. Resultado esperado: Construir aliados y fomentar la organización comunitaria para mejorar el nivel de vida de las mismas y reducir el impacto en los recursos naturales del PNSL.</t>
  </si>
  <si>
    <r>
      <t xml:space="preserve">4. Resultado esperado: </t>
    </r>
    <r>
      <rPr>
        <b/>
        <sz val="10"/>
        <rFont val="Arial"/>
        <family val="2"/>
      </rPr>
      <t>Favorecer la creación o participar en instancias de coordinación interinstitucional ya existentes que puedan apoyar en la aplicación de estrategias de conservación.</t>
    </r>
  </si>
  <si>
    <t>Diesel(Galones)</t>
  </si>
  <si>
    <t>Galon</t>
  </si>
  <si>
    <t>Gasolina(galones)</t>
  </si>
  <si>
    <t>Unidad</t>
  </si>
  <si>
    <t>Litros</t>
  </si>
  <si>
    <t>Raciones Frías (Unidades)</t>
  </si>
  <si>
    <t>Caja</t>
  </si>
  <si>
    <t>Docena</t>
  </si>
  <si>
    <t>Resma</t>
  </si>
  <si>
    <t>Listado de participantes y fotografias.</t>
  </si>
  <si>
    <t>Libro de registro de visitantes</t>
  </si>
  <si>
    <t>Listado de participantes y fotografias</t>
  </si>
  <si>
    <t>contratos y hojas de evaluacion</t>
  </si>
  <si>
    <t>Documentos de gestion</t>
  </si>
  <si>
    <t>Contratos</t>
  </si>
  <si>
    <t>3. Sub programa: Infraestructura y equipamiento</t>
  </si>
  <si>
    <t>4. Resultado esperado: Proporcionar y dar mantenimiento a los recursos fisicos del PNSL al personal asignado para el cumplimiento de resultados.</t>
  </si>
  <si>
    <t>Registros contables</t>
  </si>
  <si>
    <t>formatos</t>
  </si>
  <si>
    <t>COSTO UNIDAD/Q.</t>
  </si>
  <si>
    <t>Galones</t>
  </si>
  <si>
    <t>Almuerzos</t>
  </si>
  <si>
    <t>Libras</t>
  </si>
  <si>
    <t>Refacciones(Unidades)</t>
  </si>
  <si>
    <t>Hojas Papel Bond T/Carta(Resma)</t>
  </si>
  <si>
    <t>Lapices (cajas)</t>
  </si>
  <si>
    <t>Unidades</t>
  </si>
  <si>
    <t>Raciones Calientes</t>
  </si>
  <si>
    <t>Asistente Administrativo</t>
  </si>
  <si>
    <t>Parque Nacional Sierra del Lacandón</t>
  </si>
  <si>
    <t>Documento de evaluación</t>
  </si>
  <si>
    <t>Aceite 2 tiempos</t>
  </si>
  <si>
    <t>Informes de Monitoreo</t>
  </si>
  <si>
    <t>Cartuchos para impresora</t>
  </si>
  <si>
    <t>Expedientes de ordenes de desalojo</t>
  </si>
  <si>
    <t>Informe de monitoreo.</t>
  </si>
  <si>
    <t>Carpas</t>
  </si>
  <si>
    <t>Baterías AA</t>
  </si>
  <si>
    <t>Comunidades PNSL</t>
  </si>
  <si>
    <t>Fotografias, listado de participantes y documentos de presentación</t>
  </si>
  <si>
    <t>Propuestas elaboradas para cada programa.</t>
  </si>
  <si>
    <t>Conserje</t>
  </si>
  <si>
    <t>Bitácoras de Mantenimiento</t>
  </si>
  <si>
    <t>Mantenimiento de Vehiculos</t>
  </si>
  <si>
    <t>Camión 5 ton</t>
  </si>
  <si>
    <t>Uniformes</t>
  </si>
  <si>
    <t>Mochilas</t>
  </si>
  <si>
    <t>SUBTOTAL</t>
  </si>
  <si>
    <t>GRAN TOTAL</t>
  </si>
  <si>
    <t>CODIGO DE FUENTE DE FONDOS</t>
  </si>
  <si>
    <t>Fundación Defensores de la Naturaleza</t>
  </si>
  <si>
    <t>CONAP</t>
  </si>
  <si>
    <t>FUNDACION DEFENSORES DE LA NATURALEZA</t>
  </si>
  <si>
    <t>días-per</t>
  </si>
  <si>
    <t>Sub Programa Control y Vigilancia</t>
  </si>
  <si>
    <t>Sub programa: Recaudación</t>
  </si>
  <si>
    <t>Sub Programa Recursos Humanos</t>
  </si>
  <si>
    <t>Sub Programa de  Infraestructura y Equipamiento</t>
  </si>
  <si>
    <t>2. Programa 4: Relaciones Comunitarias</t>
  </si>
  <si>
    <t>Programa 1: Manejo de Recursos</t>
  </si>
  <si>
    <t>Sub Programa Patrimonio Cultural</t>
  </si>
  <si>
    <t>Programa 2: Patrimonio Cultural</t>
  </si>
  <si>
    <t xml:space="preserve">Programa 3: Investigación y Monitoreo </t>
  </si>
  <si>
    <t>Programa 5: Relaciones Institucionales</t>
  </si>
  <si>
    <t>5.1 Las alianzas para la recaudación de fondos con base en temas estratégicos, como servicios ambientales, especies carismáticas, desarrollo sostenible, se han fortalecido y se han desarrollado nuevas.</t>
  </si>
  <si>
    <t>Sub programa: Incidencia Institucional</t>
  </si>
  <si>
    <t>Programa 6: Administración</t>
  </si>
  <si>
    <t>Sub Programa de  Manejo Contable</t>
  </si>
  <si>
    <t>5.1.</t>
  </si>
  <si>
    <t>6.1.</t>
  </si>
  <si>
    <t>6.3.1 Se aplican las politicas  contractuales de FDN</t>
  </si>
  <si>
    <t>TOTAL DEL SUB PROGRAMA</t>
  </si>
  <si>
    <t>TOTAL DEL PROGRAMA</t>
  </si>
  <si>
    <t>Total</t>
  </si>
  <si>
    <t>Manejo de Recursos</t>
  </si>
  <si>
    <t>Investigación y Monitoreo</t>
  </si>
  <si>
    <t>Administración</t>
  </si>
  <si>
    <t>Patrimonio Cultural</t>
  </si>
  <si>
    <t>Relaciones comunitarias</t>
  </si>
  <si>
    <t xml:space="preserve">Relaciones institucionales </t>
  </si>
  <si>
    <t>Combustible</t>
  </si>
  <si>
    <t xml:space="preserve">Documento del Plan (incluye listado de participantes fotografias) </t>
  </si>
  <si>
    <t>Zona Intangible PNSL</t>
  </si>
  <si>
    <t>Piedras Negras, PNSL</t>
  </si>
  <si>
    <t>Mayra Cruz / Coordinadora Contable Financiera</t>
  </si>
  <si>
    <t>Myra Cruz / Coordinadora Administrativa Financiera</t>
  </si>
  <si>
    <t>Inventarios y fotografias</t>
  </si>
  <si>
    <t>dias-per</t>
  </si>
  <si>
    <t>Sub Programa Organización Comunitaria</t>
  </si>
  <si>
    <t>Objetivo 4: Construir aliados y fomentar la organización comunitaria para mejorar el nivel de vida de las mismas y reducir el impacto en los recursos naturales del PNSL.</t>
  </si>
  <si>
    <t>Sub Programa Investigación y monitoreo</t>
  </si>
  <si>
    <t>Objetivo 3: Coordinar y realizar investigaciones y medición periódica de parámetros críticos para documentar la situación ecológica del parque y orientar las acciones de conservación de la Co-administración.</t>
  </si>
  <si>
    <r>
      <t xml:space="preserve">1. Linea de acción: </t>
    </r>
    <r>
      <rPr>
        <b/>
        <sz val="12"/>
        <rFont val="Arial"/>
        <family val="2"/>
      </rPr>
      <t>Conservacion del area protegida y su biodiversidad</t>
    </r>
  </si>
  <si>
    <r>
      <t>2. Programa:</t>
    </r>
    <r>
      <rPr>
        <b/>
        <sz val="12"/>
        <rFont val="Arial"/>
        <family val="2"/>
      </rPr>
      <t xml:space="preserve"> 1.Manejo de Recursos </t>
    </r>
  </si>
  <si>
    <r>
      <t xml:space="preserve">3. Sub programa: </t>
    </r>
    <r>
      <rPr>
        <b/>
        <sz val="12"/>
        <rFont val="Arial"/>
        <family val="2"/>
      </rPr>
      <t>1.2 Control y Vigilancia</t>
    </r>
  </si>
  <si>
    <r>
      <t xml:space="preserve">4. Resultado esperado: </t>
    </r>
    <r>
      <rPr>
        <b/>
        <sz val="12"/>
        <rFont val="Arial"/>
        <family val="2"/>
      </rPr>
      <t>Mantener presencia de guarda-recursos en áreas críticas del parque para detectar y reaccionar conforme a la Ley de Áreas Protegidas en contra de los infractores dentro del PNSL.</t>
    </r>
  </si>
  <si>
    <t xml:space="preserve">Codigo </t>
  </si>
  <si>
    <r>
      <t>2. Programa</t>
    </r>
    <r>
      <rPr>
        <b/>
        <sz val="12"/>
        <rFont val="Arial"/>
        <family val="2"/>
      </rPr>
      <t xml:space="preserve"> 2:  Patrimonio Cultural</t>
    </r>
  </si>
  <si>
    <r>
      <t xml:space="preserve">3. Sub programa: </t>
    </r>
    <r>
      <rPr>
        <b/>
        <sz val="12"/>
        <rFont val="Arial"/>
        <family val="2"/>
      </rPr>
      <t>Patrimonio Cultural</t>
    </r>
  </si>
  <si>
    <r>
      <t xml:space="preserve">2. Programa: </t>
    </r>
    <r>
      <rPr>
        <b/>
        <sz val="12"/>
        <rFont val="Arial"/>
        <family val="2"/>
      </rPr>
      <t>Relaciones Comunitarias</t>
    </r>
  </si>
  <si>
    <r>
      <t xml:space="preserve">4. Resultado esperado: </t>
    </r>
    <r>
      <rPr>
        <b/>
        <sz val="12"/>
        <rFont val="Arial"/>
        <family val="2"/>
      </rPr>
      <t>Apoyar el uso de alternativas de producción compatibles con la normativa del PNSL y su área de influencia que coadyuven a la reducción de la pobreza en el área.</t>
    </r>
  </si>
  <si>
    <r>
      <t xml:space="preserve">4. Resultado esperado: </t>
    </r>
    <r>
      <rPr>
        <b/>
        <sz val="12"/>
        <rFont val="Arial"/>
        <family val="2"/>
      </rPr>
      <t>Contar con un sistema de divulgación y transmisión de información desde la co-administración hacia las comunidades que influyen en el PNSL.</t>
    </r>
  </si>
  <si>
    <r>
      <t xml:space="preserve">2. Programa 5: </t>
    </r>
    <r>
      <rPr>
        <b/>
        <sz val="12"/>
        <rFont val="Arial"/>
        <family val="2"/>
      </rPr>
      <t>Relaciones Institucionales</t>
    </r>
  </si>
  <si>
    <r>
      <t xml:space="preserve">4. Resultado esperado: </t>
    </r>
    <r>
      <rPr>
        <b/>
        <sz val="12"/>
        <rFont val="Arial"/>
        <family val="2"/>
      </rPr>
      <t>Establecer alianzas y sinergias con instituciones que influyen directa o indirectamente en la conservación de los recursos del PNSL.</t>
    </r>
  </si>
  <si>
    <t>Defensores de la Naturaleza</t>
  </si>
  <si>
    <t>x</t>
  </si>
  <si>
    <t>denuncias interpuestas ante el MP</t>
  </si>
  <si>
    <t>Informes técnicos</t>
  </si>
  <si>
    <t>Informes de patrullajes</t>
  </si>
  <si>
    <t>Zona Intangible</t>
  </si>
  <si>
    <t xml:space="preserve">Documentos </t>
  </si>
  <si>
    <t>Plan de Uso Publico</t>
  </si>
  <si>
    <r>
      <t xml:space="preserve">4. Resultado esperado: </t>
    </r>
    <r>
      <rPr>
        <b/>
        <sz val="10"/>
        <rFont val="Arial"/>
        <family val="2"/>
      </rPr>
      <t>Organizar, fiscalizar, facilitar los recursos financieros asignados para el cumplimiento del presente Plan Maestro</t>
    </r>
  </si>
  <si>
    <t>Puestos de control Porvenir, Arroyo Lacandon, Ceiba de Oro, Bethel, Ceibo, Pocitos, Centro Campesino, y Guayacán.</t>
  </si>
  <si>
    <t>Renglón Presupuestario</t>
  </si>
  <si>
    <t>Papel manila</t>
  </si>
  <si>
    <t>Marcadores permanentes (Docena)</t>
  </si>
  <si>
    <t>Marcadores Indelebles (Docena)</t>
  </si>
  <si>
    <t>Guardarecursos</t>
  </si>
  <si>
    <t>racines frias</t>
  </si>
  <si>
    <t>raciones calientes</t>
  </si>
  <si>
    <t>Refacciones</t>
  </si>
  <si>
    <t>Resmas de papel tamaño carta</t>
  </si>
  <si>
    <t>Coordinador Programa de Desarrollo Comunitario</t>
  </si>
  <si>
    <t>Coordinadora Contable Financiero</t>
  </si>
  <si>
    <t>Coordinadora Programa de Investigación y Monitoreo</t>
  </si>
  <si>
    <t>Técnico Extensionista Distrito ZUE</t>
  </si>
  <si>
    <t>Técnico de Monitoreo</t>
  </si>
  <si>
    <t>Técnico de Investigación</t>
  </si>
  <si>
    <t>011</t>
  </si>
  <si>
    <t>029</t>
  </si>
  <si>
    <t>Informes, Cartas, convenios, fotografias.</t>
  </si>
  <si>
    <t>Planes de trabajo</t>
  </si>
  <si>
    <t>Distrito Usumacinta</t>
  </si>
  <si>
    <t>Edin López / Director del PNSL</t>
  </si>
  <si>
    <t>Julio Valle/Coordinador de Protección</t>
  </si>
  <si>
    <t>Coordinador de Desarrollo Comunitario</t>
  </si>
  <si>
    <t xml:space="preserve"> El sistema de permisos comunitarios de manejo y aprovechamiento de flora y fauna, a través de contar con personal capacitado y un sistema de monitoreo sistemático, está fortalecido y ejecutándose.</t>
  </si>
  <si>
    <t xml:space="preserve">El Plan de Prevencion y control de Incendios, incluyendo un sistema comunitario de permisos de roza y quema, esta actualizado y ejecutándose.  </t>
  </si>
  <si>
    <t xml:space="preserve"> La presencia física permanente en áreas estratégicas del parque está fortalecida </t>
  </si>
  <si>
    <t xml:space="preserve"> El personal del parque se encuentra bajo un régimen laboral o de servicios profesionales que estimula su buen desempeño.</t>
  </si>
  <si>
    <t>Coordinador  de Desarrollo  comunitario</t>
  </si>
  <si>
    <t>Coordinador de Control y Protección</t>
  </si>
  <si>
    <t>Técnico extensionista distrito ZUE</t>
  </si>
  <si>
    <t>Técnico extensionista distrito Usumacinta</t>
  </si>
  <si>
    <t>Educador Ambiental</t>
  </si>
  <si>
    <t>litros</t>
  </si>
  <si>
    <t>Técnico de Protección</t>
  </si>
  <si>
    <t>Guardarecursos FDN</t>
  </si>
  <si>
    <t>Guardarecursos CONAP</t>
  </si>
  <si>
    <t>Promotores Rurales</t>
  </si>
  <si>
    <t>11</t>
  </si>
  <si>
    <t>29</t>
  </si>
  <si>
    <t>Asistente de Dirección</t>
  </si>
  <si>
    <t>Sobrevuelos</t>
  </si>
  <si>
    <t>Encuadernados</t>
  </si>
  <si>
    <t>262</t>
  </si>
  <si>
    <t>Técnico extensionista distrito usumacinta</t>
  </si>
  <si>
    <t>Técnico área social</t>
  </si>
  <si>
    <t>Técnico extensionista municipal</t>
  </si>
  <si>
    <t>Encargado de Resolución de conflictos</t>
  </si>
  <si>
    <t>Edin López/ Director del PNSL</t>
  </si>
  <si>
    <t>Alimentos</t>
  </si>
  <si>
    <t>Cartucho de impresora</t>
  </si>
  <si>
    <t>Boletos aéreos</t>
  </si>
  <si>
    <t xml:space="preserve">Alimentos </t>
  </si>
  <si>
    <t>Lapiceros (cajas)</t>
  </si>
  <si>
    <t>Block de notas</t>
  </si>
  <si>
    <t>Edin López, Dir. PNSL//Julio Pineda, Técnico de Eduación Ambiental /Diana Cantoral, Asistente de Dirección</t>
  </si>
  <si>
    <t>Informe de capacitación e informe</t>
  </si>
  <si>
    <t>Técnico de Control y Protección</t>
  </si>
  <si>
    <t>Mantenimiento de Lanchas</t>
  </si>
  <si>
    <t>Mantenimiento motores marinos</t>
  </si>
  <si>
    <t>Motor marino</t>
  </si>
  <si>
    <t>Técnico Agropecuario</t>
  </si>
  <si>
    <t>Promotor Rural</t>
  </si>
  <si>
    <t>Impresión de materiales</t>
  </si>
  <si>
    <t>Maskin tape</t>
  </si>
  <si>
    <t>Promotor comunitario</t>
  </si>
  <si>
    <t>Técnico Distrito Usumacinta</t>
  </si>
  <si>
    <t>Técnico Distrito ZUE</t>
  </si>
  <si>
    <t>Técnico Distrito ZR</t>
  </si>
  <si>
    <t>Promotor comunitario (4)</t>
  </si>
  <si>
    <t>Parataxónomo</t>
  </si>
  <si>
    <t>5.1.1 Gestión de financiamiento para fortalecer los programas del PNSL, en conjunto con otras organizacacionese instituciones como Oro Verde, Pastoral Social, ACOFOP, USAC-CECON, MAGA, MARN, Municipalidad de La Libertad y Municipalidad de Las Cruces.</t>
  </si>
  <si>
    <r>
      <rPr>
        <b/>
        <i/>
        <sz val="12"/>
        <rFont val="Arial"/>
        <family val="2"/>
      </rPr>
      <t>Objetivo 1:</t>
    </r>
    <r>
      <rPr>
        <b/>
        <sz val="12"/>
        <rFont val="Arial"/>
        <family val="2"/>
      </rPr>
      <t xml:space="preserve"> Diseñar y ejecutar actividades que normen, controlen y regulen la extracción de recursos en el área protegida para que las especies o sistemas que dependen de estos elementos, no sean mermados por la actividad humana.</t>
    </r>
  </si>
  <si>
    <t xml:space="preserve">Programa 4: Relaciones comunitarias </t>
  </si>
  <si>
    <r>
      <rPr>
        <b/>
        <i/>
        <sz val="12"/>
        <rFont val="Arial"/>
        <family val="2"/>
      </rPr>
      <t>Objetivo 2.</t>
    </r>
    <r>
      <rPr>
        <sz val="12"/>
        <rFont val="Arial"/>
        <family val="2"/>
      </rPr>
      <t xml:space="preserve"> Mantener presencia de guarda-recursos en áreas críticas del parque para detectar y reaccionar conforme a la Ley de Áreas Protegidas en contra de los infractores dentro del PNSL.</t>
    </r>
  </si>
  <si>
    <r>
      <t xml:space="preserve">Objetivo 2.  </t>
    </r>
    <r>
      <rPr>
        <sz val="12"/>
        <rFont val="Arial"/>
        <family val="2"/>
      </rPr>
      <t>Identificar, manejar y proteger el patrimonio cultural tangible e intangible que se encuentra relacionado física o historicamente con el PNSL.</t>
    </r>
  </si>
  <si>
    <r>
      <t xml:space="preserve">Objetivo 5. </t>
    </r>
    <r>
      <rPr>
        <sz val="12"/>
        <rFont val="Arial"/>
        <family val="2"/>
      </rPr>
      <t>Apoyar el uso de alternativas de producción compatibles con la normativa del PNSL y su área de influencia que coadyuven a la reducción de la pobreza en el área.</t>
    </r>
  </si>
  <si>
    <r>
      <t>Objetivo:</t>
    </r>
    <r>
      <rPr>
        <sz val="12"/>
        <rFont val="Arial"/>
        <family val="2"/>
      </rPr>
      <t>Establecer alianzas y sinergias con instituciones que influyen directa o indirectamente en la conservación de los recursos del PNSL.</t>
    </r>
  </si>
  <si>
    <r>
      <rPr>
        <b/>
        <sz val="12"/>
        <rFont val="Arial"/>
        <family val="2"/>
      </rPr>
      <t>Objetivo 9 :</t>
    </r>
    <r>
      <rPr>
        <sz val="12"/>
        <rFont val="Arial"/>
        <family val="2"/>
      </rPr>
      <t>Favorecer la creación o participar en instancias de coordinación interinstitucional ya existentes que puedan apoyar en la aplicación de estrategias de conservación.</t>
    </r>
  </si>
  <si>
    <r>
      <t xml:space="preserve">Objetivo 10:  </t>
    </r>
    <r>
      <rPr>
        <sz val="12"/>
        <rFont val="Arial"/>
        <family val="2"/>
      </rPr>
      <t>Asegurar la disponibilidad y bienestar del personal necesario para el cumplimiento de los resultados propuestos en el Plan Maestro.</t>
    </r>
  </si>
  <si>
    <r>
      <t xml:space="preserve">Objetivo 11: </t>
    </r>
    <r>
      <rPr>
        <sz val="12"/>
        <rFont val="Arial"/>
        <family val="2"/>
      </rPr>
      <t>Proporcionar y dar mantenimiento a los recursos fisicos del PNSL al personal asignado para el cumplimiento de resultados.</t>
    </r>
  </si>
  <si>
    <r>
      <rPr>
        <b/>
        <sz val="12"/>
        <rFont val="Arial"/>
        <family val="2"/>
      </rPr>
      <t>Objetivo 12:</t>
    </r>
    <r>
      <rPr>
        <sz val="12"/>
        <rFont val="Arial"/>
        <family val="2"/>
      </rPr>
      <t xml:space="preserve"> Organizar, fiscalizar, facilitar los recursos financieros asignados para el cumplimiento del presente Plan Maestro.</t>
    </r>
  </si>
  <si>
    <t>Sub programa Educación y Divulgación</t>
  </si>
  <si>
    <r>
      <t xml:space="preserve">1. Linea de acción: </t>
    </r>
    <r>
      <rPr>
        <b/>
        <sz val="14"/>
        <rFont val="Arial"/>
        <family val="2"/>
      </rPr>
      <t>Conservacion del area protegida y su biodiversidad</t>
    </r>
  </si>
  <si>
    <r>
      <t>2. Programa</t>
    </r>
    <r>
      <rPr>
        <b/>
        <sz val="14"/>
        <rFont val="Arial"/>
        <family val="2"/>
      </rPr>
      <t xml:space="preserve"> 1: Manejo de Recursos</t>
    </r>
  </si>
  <si>
    <r>
      <t xml:space="preserve">3. Sub programa: </t>
    </r>
    <r>
      <rPr>
        <b/>
        <sz val="14"/>
        <rFont val="Arial"/>
        <family val="2"/>
      </rPr>
      <t>Manejo de Recursos Naturales</t>
    </r>
  </si>
  <si>
    <r>
      <t>4. Resultado esperado:</t>
    </r>
    <r>
      <rPr>
        <b/>
        <sz val="14"/>
        <rFont val="Arial"/>
        <family val="2"/>
      </rPr>
      <t xml:space="preserve"> 1. 1 Diseñar y ejecutar actividades que normen, controlen y regulen la extracción de recursos en el área protegida para que las especies o sistemas que dependen de estos elementos, no sean mermados por la actividad humana.</t>
    </r>
  </si>
  <si>
    <r>
      <t xml:space="preserve">2. Programa 3: </t>
    </r>
    <r>
      <rPr>
        <b/>
        <sz val="14"/>
        <rFont val="Arial"/>
        <family val="2"/>
      </rPr>
      <t>Investigación y Monitoreo</t>
    </r>
  </si>
  <si>
    <r>
      <t>3. Sub programa:</t>
    </r>
    <r>
      <rPr>
        <b/>
        <sz val="14"/>
        <rFont val="Arial"/>
        <family val="2"/>
      </rPr>
      <t>Investigación y Monitoreo</t>
    </r>
  </si>
  <si>
    <r>
      <t xml:space="preserve">4. Resultado esperado: </t>
    </r>
    <r>
      <rPr>
        <b/>
        <sz val="14"/>
        <rFont val="Arial"/>
        <family val="2"/>
      </rPr>
      <t>Asegurar la disponibilidad y bienestar del personal necesario para el cumplimiento de los resultados propuestos en el Plan Maestro.</t>
    </r>
  </si>
  <si>
    <t>1.2.1 Capacitación al personal técnico sobre normatividad para el aprovechamiento de flora y fauna</t>
  </si>
  <si>
    <t>Promotores Rurales (4)</t>
  </si>
  <si>
    <t>Refaciones</t>
  </si>
  <si>
    <t>Técnico de Protección CONAP</t>
  </si>
  <si>
    <t xml:space="preserve">Técnico de protección conap </t>
  </si>
  <si>
    <t>Raciones calientes</t>
  </si>
  <si>
    <t>Raciones frias</t>
  </si>
  <si>
    <t>5.3.1 Participar en las instancias de diálogo e incidencia (Foro Justicia Ambiental, Instancias locales de diálogo, Comité de la RBM, entre otros) para la buena administración y protección del PNSL</t>
  </si>
  <si>
    <t>Resultado Esperado 2,017</t>
  </si>
  <si>
    <t>San Juan Villanueva, Villahermosa, Poza Azul, Manantialito, Yaxchilán.</t>
  </si>
  <si>
    <t>Pital
Guayacán
Nueva Jerusalén 
Paraíso 107
Ceibo-PNSL</t>
  </si>
  <si>
    <t xml:space="preserve">Guayacán, Nuevo Paraíso, La Revancha y Nueva Jerusalén </t>
  </si>
  <si>
    <t>Planillas       Fotografias</t>
  </si>
  <si>
    <t>Planillas, Carnet, Fotografias.</t>
  </si>
  <si>
    <t>Piedras Negras y sitios de interes (Tecolote, Cenotes), PNSL</t>
  </si>
  <si>
    <t>El sistema de autorización para caza y pesca de subsistencia establecido por la normativa vigente de CONAP es aplicado en las Zonas de Uso Especial y de Recuperación.</t>
  </si>
  <si>
    <t>3.1.1 Actualizar la información socioeconómica básica de las comunidades del PNSL.</t>
  </si>
  <si>
    <t>Coordinador (a) de Investigación y Monitoreo</t>
  </si>
  <si>
    <t>3.4.1 Implementar el Plan de Monitoreo Biológico, Social, de Emisiones de Carbono en el Parque Nacional Sierra de Lacandón (REDD+)</t>
  </si>
  <si>
    <r>
      <rPr>
        <b/>
        <sz val="10"/>
        <rFont val="Arial"/>
        <family val="2"/>
      </rPr>
      <t xml:space="preserve">1.1.1 </t>
    </r>
    <r>
      <rPr>
        <sz val="10"/>
        <rFont val="Arial"/>
        <family val="2"/>
      </rPr>
      <t>Actualización del Plan de Prevención y control de Incendios Forestales del PNSL, en coordinación con los miembros de la CIF Municipales.</t>
    </r>
  </si>
  <si>
    <t>1.2.2 Emisión de informes de opinión técnica sobre solicitudes de aprovechamiento y/o manejo de flora y fauna, así como de proyectos de inversión social.</t>
  </si>
  <si>
    <t xml:space="preserve">1.3.2 Monitoreo de licencias de caza y pesca en PNSL en coordinación con el CONAP, </t>
  </si>
  <si>
    <t>Rollo Nylon</t>
  </si>
  <si>
    <t xml:space="preserve">Rollo lazos </t>
  </si>
  <si>
    <t>Rollo de pita</t>
  </si>
  <si>
    <t>Medicamentos (Botiquín)</t>
  </si>
  <si>
    <t>Caja Limas</t>
  </si>
  <si>
    <t>Tarjeta telefónica</t>
  </si>
  <si>
    <t>Pares</t>
  </si>
  <si>
    <t>Canecas para almacenamiento de agua</t>
  </si>
  <si>
    <t>Batería de cocina</t>
  </si>
  <si>
    <t>Molino de nixtamal (manual)</t>
  </si>
  <si>
    <t>Sueros antiofídicos</t>
  </si>
  <si>
    <t>Equipo GPS</t>
  </si>
  <si>
    <t>Procuradora jurídica</t>
  </si>
  <si>
    <t>Alimentación</t>
  </si>
  <si>
    <t>Hospedaje</t>
  </si>
  <si>
    <t>Alimentación (Refacciones)</t>
  </si>
  <si>
    <t>Servicios de taxi</t>
  </si>
  <si>
    <t>Mantenimiento de vehículos</t>
  </si>
  <si>
    <t>Compra de llantas</t>
  </si>
  <si>
    <t>Impuesto aeropuertuario</t>
  </si>
  <si>
    <t>Reparación de vehículos</t>
  </si>
  <si>
    <t>Mantenimiento de lanchas</t>
  </si>
  <si>
    <t>Colchones</t>
  </si>
  <si>
    <t>Baterías de cocina</t>
  </si>
  <si>
    <t>Mantenimiento y reparación de motores marinos</t>
  </si>
  <si>
    <t>Cámaras fotográficas</t>
  </si>
  <si>
    <t>GPS</t>
  </si>
  <si>
    <t>Generador eléctrico</t>
  </si>
  <si>
    <t>Servicio de comunicación de radio satelital</t>
  </si>
  <si>
    <t>Alquiler PC Bethel</t>
  </si>
  <si>
    <t>Pago de energía eléctrica Bethel</t>
  </si>
  <si>
    <t>Alimentos para personas</t>
  </si>
  <si>
    <t>unidades</t>
  </si>
  <si>
    <t>Director de desarrollo comunitario</t>
  </si>
  <si>
    <t>Técnico de educación ambiental</t>
  </si>
  <si>
    <t xml:space="preserve">1.3.1 Emisión de informes técnicos sobre solicitudes licencias de caza y pesca </t>
  </si>
  <si>
    <t>1.1.3 Se han implementado 2 campamentos temporales en zonas de alto riesgo de incendios forestales en la ZI.</t>
  </si>
  <si>
    <r>
      <rPr>
        <b/>
        <sz val="10"/>
        <rFont val="Arial"/>
        <family val="2"/>
      </rPr>
      <t>1.1.6</t>
    </r>
    <r>
      <rPr>
        <sz val="10"/>
        <rFont val="Arial"/>
        <family val="2"/>
      </rPr>
      <t xml:space="preserve"> Se ha denunciado y Procurado  ante el Ministerio Público los actos ilicitos relacionados con el delito de incendios forestales </t>
    </r>
  </si>
  <si>
    <t xml:space="preserve">Contrato </t>
  </si>
  <si>
    <t>3.5.1 Monitoreo socioambiental del impacto de la implementacion de proyectos productivos como la apicultura, SAF biodiversos, MFS, entre otros, en el PNSL.</t>
  </si>
  <si>
    <t>Informe semestral de monitoreo</t>
  </si>
  <si>
    <t>Villa Hermosa y Cooperativa La Lucha</t>
  </si>
  <si>
    <t>4 informes trimestrales de asistencia técnica en viveros, incluir boletas de entrega de plantas. 1 Informe de Producción de plántulas 2018.</t>
  </si>
  <si>
    <t>Villa Hermosa, San Juan Villa Nueva, El Pital y Manantialito Pozo Azul, La Lucha, Retalteco, La Tecnica Agropecuaria, UMI, San Miguel Los Angeles</t>
  </si>
  <si>
    <t>Informe de establecimiento de nuevas hectáreas. Mapa de nuevas hectáreas establecidas.</t>
  </si>
  <si>
    <t>Informe de monitoreo de sobrevivencia.</t>
  </si>
  <si>
    <t>4 Informes trimestrales de asistencia técnica.</t>
  </si>
  <si>
    <t>Documentos de Plan de Manejo. Resolución de CONAP e INAB.</t>
  </si>
  <si>
    <t>2 Informes de cumplimiento y montos recibidos por concepto de incentivo.</t>
  </si>
  <si>
    <t>Resultado Esperado</t>
  </si>
  <si>
    <t>Coordinador de Control y Proetcción</t>
  </si>
  <si>
    <t>La Lucha, UMI, Tecnica.</t>
  </si>
  <si>
    <t xml:space="preserve">Coordinador de Distrito Usumacinta </t>
  </si>
  <si>
    <t>Planes comunitarios, Calendarios de quemas, boletas de quemas.</t>
  </si>
  <si>
    <t>Informes de eventos realizados.</t>
  </si>
  <si>
    <r>
      <rPr>
        <b/>
        <sz val="10"/>
        <rFont val="Arial"/>
        <family val="2"/>
      </rPr>
      <t>1.1.2</t>
    </r>
    <r>
      <rPr>
        <sz val="10"/>
        <rFont val="Arial"/>
        <family val="2"/>
      </rPr>
      <t xml:space="preserve"> Se han fortalecido e impulsado los Sistemas de Alerta Temprana de Incendios Forestales  en 03 comunidades del PNSL que han iniciado a implementar y/o que están en proceso de mejora.</t>
    </r>
  </si>
  <si>
    <t>Coordinador de Monitoreo</t>
  </si>
  <si>
    <t>Informes trimestrales</t>
  </si>
  <si>
    <t>Director PNSL/Coordinador de Monitoreo</t>
  </si>
  <si>
    <t>Informe semestral de actividades</t>
  </si>
  <si>
    <t>Director PNSL, Coordinador de Control y Proteccion</t>
  </si>
  <si>
    <t>Coordinador de Monitoreo, Coordinador de Desarrollo Comunitario</t>
  </si>
  <si>
    <t>Base de datos de informacion socioeconomica</t>
  </si>
  <si>
    <t>Coordinador Desarrollo Comunitario</t>
  </si>
  <si>
    <t>Propuestas de proyectos</t>
  </si>
  <si>
    <t>Actas comunitarias, acuerdos suscritos</t>
  </si>
  <si>
    <t>Coordinadores de Distrito</t>
  </si>
  <si>
    <t>Educador Ambiental PNSL</t>
  </si>
  <si>
    <t>Coordinadora de programa de educacion y salud</t>
  </si>
  <si>
    <t>Sub Programa Manejo de Recursos Naturales</t>
  </si>
  <si>
    <t>Boletas de permisos de quema (talonario)</t>
  </si>
  <si>
    <t>Cuadrillas SIPECIF</t>
  </si>
  <si>
    <t>Coordinador monitoreo</t>
  </si>
  <si>
    <t>Coordinador Monitoreo</t>
  </si>
  <si>
    <t>Consultoria para elaboracion de Plan de Negocios</t>
  </si>
  <si>
    <t xml:space="preserve">Plan de capacitacion para el grupo de jovenes </t>
  </si>
  <si>
    <t>Infraestructura basica de bajo impacto</t>
  </si>
  <si>
    <t>Extensionistas de los distritos</t>
  </si>
  <si>
    <t>Coordinador Programa Monitoreo</t>
  </si>
  <si>
    <t>Talleres, eventos</t>
  </si>
  <si>
    <t>Coordinadora Programa Salud y Educacion</t>
  </si>
  <si>
    <t>Promotores</t>
  </si>
  <si>
    <t>Materiales y suministros</t>
  </si>
  <si>
    <t>Material vegetativo (semillas)</t>
  </si>
  <si>
    <t>Material vegetativo (varetas)</t>
  </si>
  <si>
    <t>Materiales y suministros (herramientas y fertilizantes)</t>
  </si>
  <si>
    <t>Metodos anticonceptivos</t>
  </si>
  <si>
    <t>Maestros nivel basico</t>
  </si>
  <si>
    <t>Materiales y suministros (fertilizantes)</t>
  </si>
  <si>
    <t>Material vegetativo (frutales)</t>
  </si>
  <si>
    <t>Coordinadora Proyecto Jovenes</t>
  </si>
  <si>
    <t>Pozo Azul, Villahermosa, San Juan Villanueva, La Lucha, La Tecnica, Union Maya Itza.</t>
  </si>
  <si>
    <t>Villahermosa, San Juan Villanueva, Pozo Azul, La Lucha, La Tecnica, UMI</t>
  </si>
  <si>
    <t>Coordinadora del proyecto Jovenes</t>
  </si>
  <si>
    <t>Cooperativas del PNSL</t>
  </si>
  <si>
    <t>Tecnico de Control y Protección</t>
  </si>
  <si>
    <t>Talleres actualizacion Plan Maestro</t>
  </si>
  <si>
    <t>Coordinador Programa de Investigación y Monitoreo</t>
  </si>
  <si>
    <t>La Lucha</t>
  </si>
  <si>
    <t>Jose Hernandez</t>
  </si>
  <si>
    <t>Informe trimestral.</t>
  </si>
  <si>
    <t>Mantenimiento y levantamiento de informacion en PPM</t>
  </si>
  <si>
    <t>Jornales</t>
  </si>
  <si>
    <t>La Lucha y UMI</t>
  </si>
  <si>
    <t>Danny Milian</t>
  </si>
  <si>
    <t>Informe Trmiestral</t>
  </si>
  <si>
    <t>Técnico extensionista Heifer</t>
  </si>
  <si>
    <t>Consultoria para elaboracion de planes de manejo</t>
  </si>
  <si>
    <t>Guarda Recursos CONAP (27)</t>
  </si>
  <si>
    <t>Promotor Apícola (1)</t>
  </si>
  <si>
    <t>Coordinadora programa jóvenes</t>
  </si>
  <si>
    <t>Técnico jóvenes región usumacinta</t>
  </si>
  <si>
    <t>Técnico jóvenes región Naranjo</t>
  </si>
  <si>
    <t>Guarda Recursos CONAP (12)</t>
  </si>
  <si>
    <t>5.1.2 Gestión de financiamiento para la elaboración del Plan de Gestión y Manejo de visitantes del PNSL</t>
  </si>
  <si>
    <t>6.1.1 Gestión y contratación del recurso humano necesario para el desarrollo de los diversos programas del PNSL.</t>
  </si>
  <si>
    <t>6.1 El personal necesario para la ejecución de las actividades de los programas de manejo del parque es contratado y se evalúa su desempeño</t>
  </si>
  <si>
    <t>6.1.2 Evaluación del desempeño del personal técnico-administrativo  idóneo, necesario para la buena coadministración del PNSL..</t>
  </si>
  <si>
    <t>6.2.2  Se facilita al menos tres (3) eventos de  capacitación del personal técnico en diversas temáticas en el manejo de áreas protegidas,</t>
  </si>
  <si>
    <t>6.2.1 Se facilita al menos tres (3) eventos de capacitación de procedimientos administrativos y políticas institucionales al personal del PNSL.</t>
  </si>
  <si>
    <t>Informes</t>
  </si>
  <si>
    <t>5.1.3 Suscripción de al menos dos (2) convenios interinstitucionales se concretan o se les brinda el seguimiento debido.</t>
  </si>
  <si>
    <t>141</t>
  </si>
  <si>
    <t>Coordinadora programa de jóvenes</t>
  </si>
  <si>
    <t>Q</t>
  </si>
  <si>
    <t>211</t>
  </si>
  <si>
    <t>Resultado Esperado 2,019</t>
  </si>
  <si>
    <t>Útiles, accesorios y materiales eléctricos</t>
  </si>
  <si>
    <t>Útiles de cocina y comedor</t>
  </si>
  <si>
    <t>Herramientas menores (escobas, martillo, escobetas, etc)</t>
  </si>
  <si>
    <t>Productos plásticos, nylon, PVC (cedazos, Nylon, cubetas, etc.)</t>
  </si>
  <si>
    <t>Páneles solares</t>
  </si>
  <si>
    <t>297</t>
  </si>
  <si>
    <t>329</t>
  </si>
  <si>
    <t>Mantenimiento de radiocomunicación</t>
  </si>
  <si>
    <t>326</t>
  </si>
  <si>
    <t>Edin López/Director del PNSL</t>
  </si>
  <si>
    <t>Informe</t>
  </si>
  <si>
    <t>2.1.1 Apoyo y seguimiento a la implementación de la temporada de investigación y conservación arqueológica en el marco del Proyecto Paisaje Piedras Negras</t>
  </si>
  <si>
    <t>2.2.1  Elaboración del Plan de Gestión y Manejo de visitantes del PNSL</t>
  </si>
  <si>
    <t xml:space="preserve">2.3.2 Registro de visitantes al sitio Arqueologico Piedras Negras </t>
  </si>
  <si>
    <r>
      <t xml:space="preserve">2. Programa 5: </t>
    </r>
    <r>
      <rPr>
        <b/>
        <sz val="10"/>
        <rFont val="Arial"/>
        <family val="2"/>
      </rPr>
      <t>Relaciones Institucionales</t>
    </r>
  </si>
  <si>
    <t>2. Programa 6: Administración</t>
  </si>
  <si>
    <t xml:space="preserve"> 6.2 El personal gerencial, técnico y administrativo tiene la formación y capacitación requerida para la implementacion de las actividades de manejo del parque.</t>
  </si>
  <si>
    <r>
      <t xml:space="preserve">4. Resultado esperado: 2.1 </t>
    </r>
    <r>
      <rPr>
        <b/>
        <sz val="12"/>
        <rFont val="Arial"/>
        <family val="2"/>
      </rPr>
      <t>Identificar, manejar y proteger el patrimonio cultural tangible e intangible que se encuentra relacionado física o historicamente con el PNSL.</t>
    </r>
  </si>
  <si>
    <r>
      <t xml:space="preserve">4. Resultado esperado: 3.1 </t>
    </r>
    <r>
      <rPr>
        <b/>
        <sz val="14"/>
        <rFont val="Arial"/>
        <family val="2"/>
      </rPr>
      <t>Coordinar y realizar investigaciones y medición periódica de parámetros críticos para documentar la situación ecológica del parque y orientar las acciones de conservación de la Co-administración.</t>
    </r>
  </si>
  <si>
    <t>1.5.1Coordinación con el CONAP, BEOS y DIPRONA para mantener la presencia del personal interinstitucional en los COI (Arroyo Lacandón y Arroyo Yaxchilán) y PC (Porvenir, Guayacán, Pocitos) del PNSL.</t>
  </si>
  <si>
    <t>1.6.1  Presentar denuncias ante el Ministerio Público de todos los actos ilícitos detectados dentro del área protegida y su área de influencia.</t>
  </si>
  <si>
    <t>1.6.2 Seguimiento a las ordenes de desalojo para las invasiones La Revancha y San Francisco.</t>
  </si>
  <si>
    <t xml:space="preserve">1.6.3 Seguimiento a talleres dirigido a personal técnico, Ejército, Diprona y guardarecursos sobre legislación ambiental y procedimiento para el manejo y resguardo de los bienes decomisados (cadena de custodia). </t>
  </si>
  <si>
    <t>1.6 Se han realizado acciones para velar por el cumplimiento de la legislación nacional y convenios internacionales vigentes para la protección del patrimonio natural y cultural</t>
  </si>
  <si>
    <t>1.7 Existe y se ejecuta un sistema de  patrullajes periódicos en las áreas más vulnerables a las amenazas identificadas al patrimonio natural y cultural del parque y en áreas sujetas a procesos de regeneración natural.</t>
  </si>
  <si>
    <t>1.7.1 Actualización e Implementación de la Estrategia de Control y Vigilancia para el PNSL</t>
  </si>
  <si>
    <t>1.7.2  Se realizan por lo menos 36 patrullajes de largo alcance dentro de la ZI  en el PNSL de forma interinstitucional.</t>
  </si>
  <si>
    <r>
      <t>1.7.4 Se realizarán por lo menos</t>
    </r>
    <r>
      <rPr>
        <sz val="11"/>
        <color indexed="8"/>
        <rFont val="Arial"/>
        <family val="2"/>
      </rPr>
      <t xml:space="preserve"> 264</t>
    </r>
    <r>
      <rPr>
        <sz val="11"/>
        <color indexed="10"/>
        <rFont val="Arial"/>
        <family val="2"/>
      </rPr>
      <t xml:space="preserve"> </t>
    </r>
    <r>
      <rPr>
        <sz val="11"/>
        <rFont val="Arial"/>
        <family val="2"/>
      </rPr>
      <t>patrullajes de corto alcance en la ZI del PNSL institucionales</t>
    </r>
  </si>
  <si>
    <t>1.8.1 Se han establecido puestos de control conjuntamente entre Ejército, PNC/DIPRONA, CONAP e instituciones mexicanas para control binacional, durante épocas críticas de extracción de flora y fauna.</t>
  </si>
  <si>
    <t>1.8.1.1 Se han establecido puestos de control conjuntamente entre Ejército, PNC/DIPRONA, CONAP e instituciones mexicanas para control binacional, durante épocas críticas de extracción de flora y fauna.</t>
  </si>
  <si>
    <t>1.9 Se evaluará las actividades de control y vigilancias con las fuerzas de seguridad.</t>
  </si>
  <si>
    <t>1.9.1. Doce (12) Reuniones de coordinación para  evaluar y planificar las actividades de control y vigilancia en el PNSL (Brigada de Selva, DIPRONA, CONAP)</t>
  </si>
  <si>
    <t xml:space="preserve"> 2.1. Organización del Comité arqueológico del PNSL para la conservación de los vestigios prehispánicos  del área,</t>
  </si>
  <si>
    <t>2.2 El Plan de Ecoturismo del parque es elaborado e implementado , ampliando su alcance bajo el concepto de Uso Público.</t>
  </si>
  <si>
    <t>2.3 La visita turística al parque es regulada a través de la coordinación con las comunidades y tour operadores.</t>
  </si>
  <si>
    <t>3.1.2 Una línea de investigación y monitoreo socioeconómico de las comunidades del Parque se ha iniciado y se ejecuta periódicamente.</t>
  </si>
  <si>
    <t>3.4 El Plan de monitoreo natural y cultural se ejecuta y revisa periodicamente</t>
  </si>
  <si>
    <t>3.5 La medición del impacto de alternativas productivas sostenibles en el PNSL, se monitorea para prescribir mejoras en el proceso.</t>
  </si>
  <si>
    <t>3.6 La efectividad de la Coadminsitración del PNSL es evaluada de forma oportuna y eficiente.</t>
  </si>
  <si>
    <t>3. Sub programa: 4.1 Organización Comunitaria</t>
  </si>
  <si>
    <t>4.1.1 La gestión comunitaria de servicios básicos como salud y educación con base en la organización local y el ordenamiento territorial es apoyada por la Administracion del PNSL.</t>
  </si>
  <si>
    <t>4.1.1.1 Apoyar en la gestión de servicios de salud y educación permanentes en las comunidades del PNSL.</t>
  </si>
  <si>
    <r>
      <t xml:space="preserve">3. Sub programa: 4.2 </t>
    </r>
    <r>
      <rPr>
        <b/>
        <sz val="12"/>
        <rFont val="Arial"/>
        <family val="2"/>
      </rPr>
      <t>Proyectos Productivos</t>
    </r>
  </si>
  <si>
    <r>
      <t xml:space="preserve">2. Programa: 4. </t>
    </r>
    <r>
      <rPr>
        <b/>
        <sz val="12"/>
        <rFont val="Arial"/>
        <family val="2"/>
      </rPr>
      <t>Relaciones Comunitarias</t>
    </r>
  </si>
  <si>
    <r>
      <t xml:space="preserve">3. Sub programa: 4.3 </t>
    </r>
    <r>
      <rPr>
        <b/>
        <sz val="12"/>
        <rFont val="Arial"/>
        <family val="2"/>
      </rPr>
      <t>Educación y Divulgación</t>
    </r>
  </si>
  <si>
    <r>
      <rPr>
        <b/>
        <sz val="9"/>
        <rFont val="Arial"/>
        <family val="2"/>
      </rPr>
      <t>4.1.2.1</t>
    </r>
    <r>
      <rPr>
        <sz val="9"/>
        <rFont val="Arial"/>
        <family val="2"/>
      </rPr>
      <t xml:space="preserve"> 6 Talleres de capacitación a 10 Comunidades sobre Ley de Consejos de Desarrollo, Saneamiento ambiental, Legislación Ambiental y patrimonio cultural, Código Municipal, Resolución de conflictos, PAH, entre otros, en el marco de las instancias de diálogo.</t>
    </r>
  </si>
  <si>
    <t>4.1.2.2 Identificacion y Formacion de 20 multiplicadores juveniles en temas de salud sexual y reproductiva.</t>
  </si>
  <si>
    <t>4.1.2.3 Identificacion y formacion de 12 promotores distribuidores de metodos de planificacion familiar.</t>
  </si>
  <si>
    <t>4.1.2.4 Acompañamiento a los 10 COCODES de las comunidades del PNSL en la gestión de proyectos de desarrollo sostenible.</t>
  </si>
  <si>
    <t>4.1.2.5 Fortalecimiento de grupos de jovenes conformados en PNSL</t>
  </si>
  <si>
    <t>4.1.3 Se le brinda atención y seguimiento a los temas de conflictividad socioambiental en el PNSL, en coordinación con el Comité Asesor del PNSL.</t>
  </si>
  <si>
    <t>4.1.2. Los liderazgos comunitarios son fortalecidos por la administración del parque como Representantes de las comunidades  y gestores del desarrollo sostenible y la protección del patrimonio natural y cultural</t>
  </si>
  <si>
    <t>4.1.3.1 Seguimiento, evaluación y/o actualización de los Acuerdos  suscritos en el PNSL</t>
  </si>
  <si>
    <t>4.1.3.2 Seguimiento al proceso de negociación de Acuerdos de Cooperación por suscribir con las comunidades del PNSL.</t>
  </si>
  <si>
    <t xml:space="preserve">4.1.3.3  Seguimiento al funcionamiento de instancias de diálogo para Prevención y Resolución de conflictos. </t>
  </si>
  <si>
    <t>4.1.3.4 Establecimiento de la JD del PNSL.</t>
  </si>
  <si>
    <t>4.2.1.8 Monitoreo de la sobrevivencia de plantas establecidas y replantadas en 10 comunidades.</t>
  </si>
  <si>
    <t>4.2.1.9 Mantenimiento de los sistemas establecidos. (Podas, fertilización, desmalezado, replanteo) en 10 comunidades, 205 hectareas</t>
  </si>
  <si>
    <t>4.2.1.13 Manejo de 30 hectáreas de Bosque Secundario en La Lucha.</t>
  </si>
  <si>
    <t>4.2.1.16 Elaboración de Planes de Manejo para 100 hectáreas de Bosque Natural.</t>
  </si>
  <si>
    <t xml:space="preserve"> 4.2.1.17 Seguimiento a la ejecución de proyectos PINPEP y Probosque (100 has. Arroyo Yaxchilán, 100 ZUE, 50 UMI).</t>
  </si>
  <si>
    <t>4.2.1.28 Financiamiento de al menos 3 iniciativas productivas (miel, cacao, madera)</t>
  </si>
  <si>
    <t>4.3.1 Se han emprendido acciones de formación cívica, legal, ambiental y cultural en las comunidades del parque y su entorno, enmarcadas en la Estrategia Regional de Educación Ambiental.</t>
  </si>
  <si>
    <t>4.3.1.1    Al menos 60 Eventos de Educación Ambiental dirigido a las escuelas y grupos organizados en el PNSL (trenes de aseo, huertos escolares, conservación biodiversidad, legislacion ambiental y celebración de días festivos).</t>
  </si>
  <si>
    <t>4.3.1..2    Al menos 4 Eventos de capacitación en 10 comunidades priorizadas del PNSL para informar y sensibilizar a promotores de planificacion familiar, comadronas y jóvenes multiplicadores sobre Salud Sexual y Reproductiva y métodos de planificación familiar.</t>
  </si>
  <si>
    <t>4.3.1.3  Al menos 2 Eventos de capacitación a 61 maestros de 10 comunidades priorizadas del PNSL para impartir metodología participativa, conocimiento de currilulum nacional base, herramientas de aprendizaje y técnicas de evaluación en el aula. Coordinada con DIDEDUC</t>
  </si>
  <si>
    <t>4.3.1.4   2 Eventos de capacitación a 20 jóvenes multiplicadores de 10 comunidades priorizadas del PNSL  sobre temas de educación ambiental las cuales seran replicadas con jovenes no escolarizados del PNSL</t>
  </si>
  <si>
    <t xml:space="preserve">4.3.1.5   Al menos 10 Eventos de lectura a 180 niños de 10 comunidades priorizadas del PNSL  con la finalidad de fomentar la lectoescritura y formas estudiantes con interpretación y análsis critico para un mejor desarrollo a nivel escolar. </t>
  </si>
  <si>
    <t>4.3.1.6     Al menos 400 Charlas de sensibilizacion y formacion dirigida a jovenes no escolarizados en temas de salud sexual y reproductiva</t>
  </si>
  <si>
    <t>4.3.1.7   Distribución de al menos 2000 metodos anticonceptivos (Depoprovera, Ciclofem, pastillas y condones) a traves de 12 promotores.</t>
  </si>
  <si>
    <t>4.3.1.8  Contratación de 2 maestros para atención de 45 estudiantes de nivel básico en comunidad Pozo Azul</t>
  </si>
  <si>
    <r>
      <t xml:space="preserve">3. Sub programa: 5.1 </t>
    </r>
    <r>
      <rPr>
        <b/>
        <sz val="12"/>
        <rFont val="Arial"/>
        <family val="2"/>
      </rPr>
      <t>Recaudación</t>
    </r>
  </si>
  <si>
    <t>3. Sub programa:  5.2 Incidencia Institucional</t>
  </si>
  <si>
    <t>5.2.1 La coordinación interinstitucional entre el Estado, las organizaciones de la sociedad civil y las comunidades, enfocada en la solidaridad comunitaria y la protección del patrimonio natural y cultural se ha fortalecido.</t>
  </si>
  <si>
    <t>5.2.1.1 Participar en las instancias de coordinación, diálogo e incidencia en temas socioambientales,  seguridad, justicia,   político, educación, salud y productividad,  para la buena administración y protección del PNSL</t>
  </si>
  <si>
    <t>5.2.1.2 Instaurar y poner en funcionamiento el Consejo Asesor del Parque Nacional Sierra de Lacandón integrado por actores locales representativos, como la máxima instancia de coordinación interinstitucional entre la Coadministración y organizaciones de la sociedad civil y el Estado.</t>
  </si>
  <si>
    <t>5.2.1.3 El funcionamiento de al menos dos (2) mesas técnicas o comittés de trabajo interinstitucional, sirven de marco para la coordinación interinstitucional  para tratar temas álgidos como gobernabilidad, conflictividad y desarrollo comunitario, en el PNSL.</t>
  </si>
  <si>
    <t>3. Sub programa: 6.1 Recursos Humanos</t>
  </si>
  <si>
    <t>6.1.1 La infraestructura basica para mantener presencia fisica en las áreas estrategicas y críticas de conservacion esta construida y recibe mantenimiento continuo.</t>
  </si>
  <si>
    <t>6.1.1.2 Mantenimiento de la infraestructura y equipamiento  básico para la operativización de al menos cinco (5) COI o puestos de control fijos o temporales en el PNSL,</t>
  </si>
  <si>
    <t>3. Sub programa: 6.2 Manejo Contable</t>
  </si>
  <si>
    <t>6.2.1 Un sistema administrativo que apoye el desarrollo de las actividades de los demás programas de manejo del parque esta establecido y funcionando</t>
  </si>
  <si>
    <t>6.2.2 Las normas, rutinas y procedimientos para la ejecucion de las actividades del manejo del parque esta claramente definidos</t>
  </si>
  <si>
    <t>6.2.1.1 Administrar los recursos financieros asignados al PNSL</t>
  </si>
  <si>
    <t>6.2.2.1 Implementación de herramientas administrativas adecuadas para el buen manejo de los recursos para el PNSL</t>
  </si>
  <si>
    <t>6.1.1.3  Mantenimiento a todo el equipo del PNSL, para su buen funcionamiento,</t>
  </si>
  <si>
    <t>6.1.1.4 Adquisición de equipo para la ejecución de los programas del PNSL</t>
  </si>
  <si>
    <t>Actas/acuerdos/Reglamento</t>
  </si>
  <si>
    <t>(Pital, Ceibo, La Revancha, Las Ruinas, San Juan Villa Nueva, Pozo Azul, Manantialito,  Yaxchilán, UMI, La Técnica, La Lucha, El Retalteco)</t>
  </si>
  <si>
    <t>1.1.4 Se han implementado Talleres de sensibilización y organización comunitarias para la Prevencion y Control de incendios forestales en 12 comunidades del PNSL, en el marco de la CIF-M de Las Cruces y La Libertad.</t>
  </si>
  <si>
    <r>
      <rPr>
        <b/>
        <sz val="10"/>
        <rFont val="Arial"/>
        <family val="2"/>
      </rPr>
      <t>1.1.5</t>
    </r>
    <r>
      <rPr>
        <sz val="10"/>
        <rFont val="Arial"/>
        <family val="2"/>
      </rPr>
      <t xml:space="preserve"> Se ha brindado mantenimiento y limpieza de 20 kilómetros de brechas corta fuegos en el PNSL, que incluyen polígonos comunitarios y brecha cortafuego al interior de la zona intangible del PNSL.</t>
    </r>
  </si>
  <si>
    <t>Informe de mantenimiento y limpieza de brechas cortafuego.</t>
  </si>
  <si>
    <t>4.2.1.15 Elaboración de Planes de Manejo para 200 hectáreas de SAF Biodiverso.</t>
  </si>
  <si>
    <t>4.2.1.27 Establecimiento de al menos 3 iniciativas productivas con los grupos de jovenes.</t>
  </si>
  <si>
    <t xml:space="preserve">1.7.3. Nueve (09) sobrevuelos en el PNSL para la detección de actividades ilícitas y monitoreo, en coordinación con el CEMEC, </t>
  </si>
  <si>
    <t>Coordinador de Control y Protección/Director PNSL</t>
  </si>
  <si>
    <t>2.3.1 Implementacion de un plan de negocios para la actividad turistica en el PNSL, que incluya capacitacion y desarrollo de infraestructura de bajo impacto.</t>
  </si>
  <si>
    <t>4.2.1.14 Asistencia Tecnica en Manejo Forestal Sostenible, Maderable y No Maderable (3000 hectareas).</t>
  </si>
  <si>
    <t>PLAN OPERATIVO ANUAL 2021</t>
  </si>
  <si>
    <t>1.4.1 Monitoreo de la dinámica de regeneracion natural en coordinación con CEMEC en poligono de Centro Campesino.</t>
  </si>
  <si>
    <t>1.4.2 Ejecución y Monitoreo de las actividades del Proyecto REDD+ en el PNSL, bajo el estándar CCB y VCS,</t>
  </si>
  <si>
    <t>Coordinador programa de relaciones comunitarias</t>
  </si>
  <si>
    <t>Promotores del programa relaciones comunitarias</t>
  </si>
  <si>
    <t>3.6.1 Monitoreo de la ejecución efectiva del Plan Maestro a partir del POA 2020.</t>
  </si>
  <si>
    <t>4.2.1.4 Establecimiento en  1 vivero institucional en cooperativa La Lucha para la producción de al menos 20,000 plantas que seran utilizadas para establecer y repoblar SAF en poligonos comunitarios del PNSL.</t>
  </si>
  <si>
    <t>4.2.1.6 Establecimiento de al menos 45 hectáreas de SAF de (Pimienta, Achiote, Cacao) en 05 Cooperativas y 05 comunidades PNSL.</t>
  </si>
  <si>
    <t>Recepcionista</t>
  </si>
  <si>
    <t>Coordinador  Monitoreo</t>
  </si>
  <si>
    <t xml:space="preserve">Guarda Recursos FDN </t>
  </si>
  <si>
    <t>Guarda Recursos FDN (2)</t>
  </si>
  <si>
    <t>Plan Operativo Anual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</si>
</sst>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Q&quot;* #,##0.00_-;\-&quot;Q&quot;* #,##0.00_-;_-&quot;Q&quot;* &quot;-&quot;??_-;_-@_-"/>
    <numFmt numFmtId="164" formatCode="&quot;Q&quot;#,##0_);[Red]\(&quot;Q&quot;#,##0\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&quot;Q&quot;#,##0.00"/>
    <numFmt numFmtId="168" formatCode="_([$Q-100A]* #,##0.00_);_([$Q-100A]* \(#,##0.00\);_([$Q-100A]* &quot;-&quot;??_);_(@_)"/>
    <numFmt numFmtId="169" formatCode="0.0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i/>
      <sz val="1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u/>
      <sz val="16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166" fontId="3" fillId="0" borderId="0" applyFont="0" applyFill="0" applyBorder="0" applyAlignment="0" applyProtection="0"/>
    <xf numFmtId="0" fontId="9" fillId="0" borderId="0"/>
    <xf numFmtId="0" fontId="9" fillId="0" borderId="0"/>
    <xf numFmtId="0" fontId="28" fillId="0" borderId="0"/>
  </cellStyleXfs>
  <cellXfs count="989">
    <xf numFmtId="0" fontId="0" fillId="0" borderId="0" xfId="0"/>
    <xf numFmtId="0" fontId="0" fillId="0" borderId="0" xfId="0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9" fillId="0" borderId="0" xfId="0" applyFont="1" applyAlignment="1">
      <alignment horizontal="left" vertical="justify"/>
    </xf>
    <xf numFmtId="0" fontId="9" fillId="0" borderId="0" xfId="0" applyFont="1" applyAlignment="1">
      <alignment vertical="justify"/>
    </xf>
    <xf numFmtId="0" fontId="9" fillId="0" borderId="0" xfId="0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49" fontId="4" fillId="0" borderId="0" xfId="0" applyNumberFormat="1" applyFont="1" applyFill="1" applyBorder="1" applyAlignment="1">
      <alignment horizontal="center" vertical="top" wrapText="1"/>
    </xf>
    <xf numFmtId="0" fontId="9" fillId="0" borderId="0" xfId="0" applyFont="1" applyBorder="1"/>
    <xf numFmtId="49" fontId="4" fillId="0" borderId="0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left" vertical="top" wrapText="1"/>
    </xf>
    <xf numFmtId="0" fontId="3" fillId="0" borderId="0" xfId="0" applyFont="1"/>
    <xf numFmtId="0" fontId="3" fillId="0" borderId="0" xfId="0" applyFont="1" applyBorder="1"/>
    <xf numFmtId="0" fontId="0" fillId="0" borderId="0" xfId="0" applyAlignment="1">
      <alignment horizontal="center"/>
    </xf>
    <xf numFmtId="0" fontId="9" fillId="0" borderId="0" xfId="0" applyFont="1" applyAlignment="1">
      <alignment vertical="top"/>
    </xf>
    <xf numFmtId="0" fontId="10" fillId="0" borderId="1" xfId="0" applyFont="1" applyFill="1" applyBorder="1" applyAlignment="1">
      <alignment horizontal="left" vertical="top" wrapText="1"/>
    </xf>
    <xf numFmtId="4" fontId="9" fillId="0" borderId="0" xfId="0" applyNumberFormat="1" applyFont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vertical="top" wrapText="1"/>
    </xf>
    <xf numFmtId="49" fontId="4" fillId="0" borderId="3" xfId="0" applyNumberFormat="1" applyFont="1" applyFill="1" applyBorder="1" applyAlignment="1">
      <alignment vertical="top" wrapText="1"/>
    </xf>
    <xf numFmtId="49" fontId="4" fillId="0" borderId="4" xfId="0" applyNumberFormat="1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4" fontId="10" fillId="0" borderId="1" xfId="0" applyNumberFormat="1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 wrapText="1"/>
    </xf>
    <xf numFmtId="4" fontId="9" fillId="0" borderId="0" xfId="0" applyNumberFormat="1" applyFont="1"/>
    <xf numFmtId="0" fontId="9" fillId="0" borderId="1" xfId="0" applyFont="1" applyFill="1" applyBorder="1" applyAlignment="1">
      <alignment horizontal="left" vertical="center" wrapText="1"/>
    </xf>
    <xf numFmtId="4" fontId="9" fillId="0" borderId="0" xfId="0" applyNumberFormat="1" applyFont="1" applyBorder="1"/>
    <xf numFmtId="0" fontId="0" fillId="0" borderId="0" xfId="0" applyFill="1" applyAlignment="1">
      <alignment horizontal="center" vertical="center"/>
    </xf>
    <xf numFmtId="0" fontId="0" fillId="0" borderId="0" xfId="0" applyFill="1"/>
    <xf numFmtId="4" fontId="0" fillId="0" borderId="0" xfId="0" applyNumberForma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justify"/>
    </xf>
    <xf numFmtId="0" fontId="9" fillId="0" borderId="0" xfId="0" applyFont="1" applyBorder="1" applyAlignment="1">
      <alignment vertical="justify"/>
    </xf>
    <xf numFmtId="0" fontId="9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0" fontId="8" fillId="0" borderId="0" xfId="0" applyFont="1" applyBorder="1" applyAlignment="1"/>
    <xf numFmtId="0" fontId="0" fillId="0" borderId="8" xfId="0" applyBorder="1"/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0" fillId="0" borderId="0" xfId="0" applyAlignment="1"/>
    <xf numFmtId="168" fontId="0" fillId="0" borderId="0" xfId="0" applyNumberFormat="1" applyFill="1" applyAlignment="1">
      <alignment horizontal="center" vertical="center"/>
    </xf>
    <xf numFmtId="168" fontId="0" fillId="0" borderId="0" xfId="0" applyNumberFormat="1" applyFill="1"/>
    <xf numFmtId="168" fontId="0" fillId="0" borderId="0" xfId="0" applyNumberFormat="1"/>
    <xf numFmtId="0" fontId="0" fillId="0" borderId="0" xfId="0" applyAlignment="1">
      <alignment horizontal="center" wrapText="1"/>
    </xf>
    <xf numFmtId="0" fontId="10" fillId="0" borderId="3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center" wrapText="1"/>
    </xf>
    <xf numFmtId="0" fontId="14" fillId="0" borderId="0" xfId="0" applyFont="1" applyBorder="1"/>
    <xf numFmtId="0" fontId="8" fillId="0" borderId="0" xfId="0" applyFont="1" applyBorder="1"/>
    <xf numFmtId="0" fontId="14" fillId="0" borderId="0" xfId="0" applyFont="1"/>
    <xf numFmtId="0" fontId="14" fillId="0" borderId="0" xfId="0" applyFont="1" applyAlignment="1">
      <alignment vertical="justify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49" fontId="20" fillId="0" borderId="6" xfId="0" applyNumberFormat="1" applyFont="1" applyFill="1" applyBorder="1" applyAlignment="1">
      <alignment vertical="top" wrapText="1"/>
    </xf>
    <xf numFmtId="167" fontId="4" fillId="4" borderId="7" xfId="0" applyNumberFormat="1" applyFont="1" applyFill="1" applyBorder="1" applyAlignment="1">
      <alignment horizontal="center" vertical="center" wrapText="1"/>
    </xf>
    <xf numFmtId="167" fontId="4" fillId="4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justify"/>
    </xf>
    <xf numFmtId="0" fontId="14" fillId="0" borderId="0" xfId="0" applyFont="1" applyAlignment="1">
      <alignment vertical="top"/>
    </xf>
    <xf numFmtId="167" fontId="11" fillId="4" borderId="12" xfId="0" applyNumberFormat="1" applyFont="1" applyFill="1" applyBorder="1" applyAlignment="1">
      <alignment horizontal="center" vertical="center" wrapText="1"/>
    </xf>
    <xf numFmtId="49" fontId="11" fillId="0" borderId="13" xfId="0" applyNumberFormat="1" applyFont="1" applyFill="1" applyBorder="1" applyAlignment="1">
      <alignment vertical="top" wrapText="1"/>
    </xf>
    <xf numFmtId="49" fontId="11" fillId="0" borderId="6" xfId="0" applyNumberFormat="1" applyFont="1" applyFill="1" applyBorder="1" applyAlignment="1">
      <alignment vertical="top" wrapText="1"/>
    </xf>
    <xf numFmtId="49" fontId="11" fillId="0" borderId="7" xfId="0" applyNumberFormat="1" applyFont="1" applyFill="1" applyBorder="1" applyAlignment="1">
      <alignment vertical="top" wrapText="1"/>
    </xf>
    <xf numFmtId="0" fontId="11" fillId="0" borderId="13" xfId="0" applyFont="1" applyFill="1" applyBorder="1" applyAlignment="1">
      <alignment horizontal="center" vertical="top"/>
    </xf>
    <xf numFmtId="0" fontId="11" fillId="0" borderId="7" xfId="0" applyFont="1" applyFill="1" applyBorder="1" applyAlignment="1">
      <alignment horizontal="center" vertical="top"/>
    </xf>
    <xf numFmtId="167" fontId="11" fillId="4" borderId="14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vertical="top" wrapText="1"/>
    </xf>
    <xf numFmtId="49" fontId="4" fillId="0" borderId="7" xfId="0" applyNumberFormat="1" applyFont="1" applyFill="1" applyBorder="1" applyAlignment="1">
      <alignment vertical="top" wrapText="1"/>
    </xf>
    <xf numFmtId="0" fontId="4" fillId="0" borderId="13" xfId="0" applyFont="1" applyFill="1" applyBorder="1" applyAlignment="1">
      <alignment horizontal="center" vertical="top"/>
    </xf>
    <xf numFmtId="0" fontId="9" fillId="0" borderId="5" xfId="0" applyFont="1" applyBorder="1" applyAlignment="1">
      <alignment horizontal="left" vertical="top" wrapText="1"/>
    </xf>
    <xf numFmtId="167" fontId="4" fillId="4" borderId="15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/>
    </xf>
    <xf numFmtId="0" fontId="18" fillId="0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vertical="top" wrapText="1"/>
    </xf>
    <xf numFmtId="0" fontId="18" fillId="0" borderId="5" xfId="0" applyFont="1" applyFill="1" applyBorder="1" applyAlignment="1">
      <alignment horizontal="left" vertical="top" wrapText="1"/>
    </xf>
    <xf numFmtId="0" fontId="18" fillId="0" borderId="1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vertical="top" wrapText="1"/>
    </xf>
    <xf numFmtId="0" fontId="28" fillId="0" borderId="0" xfId="4"/>
    <xf numFmtId="0" fontId="9" fillId="0" borderId="0" xfId="0" applyFont="1" applyFill="1"/>
    <xf numFmtId="0" fontId="9" fillId="0" borderId="1" xfId="0" applyFont="1" applyFill="1" applyBorder="1" applyAlignment="1">
      <alignment vertical="top" wrapText="1"/>
    </xf>
    <xf numFmtId="165" fontId="0" fillId="0" borderId="0" xfId="0" applyNumberFormat="1" applyBorder="1" applyAlignment="1">
      <alignment horizontal="right"/>
    </xf>
    <xf numFmtId="165" fontId="0" fillId="0" borderId="1" xfId="0" applyNumberFormat="1" applyFill="1" applyBorder="1" applyAlignment="1">
      <alignment horizontal="right"/>
    </xf>
    <xf numFmtId="168" fontId="0" fillId="0" borderId="0" xfId="0" applyNumberFormat="1" applyBorder="1"/>
    <xf numFmtId="1" fontId="0" fillId="0" borderId="0" xfId="0" applyNumberFormat="1" applyAlignment="1">
      <alignment horizontal="center"/>
    </xf>
    <xf numFmtId="1" fontId="0" fillId="0" borderId="0" xfId="0" applyNumberFormat="1" applyBorder="1" applyAlignment="1">
      <alignment horizontal="center"/>
    </xf>
    <xf numFmtId="1" fontId="15" fillId="0" borderId="0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3" fillId="0" borderId="11" xfId="0" applyFont="1" applyFill="1" applyBorder="1"/>
    <xf numFmtId="165" fontId="0" fillId="0" borderId="0" xfId="0" applyNumberFormat="1" applyAlignment="1">
      <alignment horizontal="right"/>
    </xf>
    <xf numFmtId="165" fontId="19" fillId="0" borderId="0" xfId="0" applyNumberFormat="1" applyFont="1" applyAlignment="1">
      <alignment horizontal="right"/>
    </xf>
    <xf numFmtId="165" fontId="0" fillId="0" borderId="0" xfId="0" applyNumberFormat="1"/>
    <xf numFmtId="165" fontId="0" fillId="0" borderId="0" xfId="0" applyNumberFormat="1" applyBorder="1"/>
    <xf numFmtId="165" fontId="0" fillId="0" borderId="0" xfId="0" applyNumberFormat="1" applyAlignment="1"/>
    <xf numFmtId="165" fontId="19" fillId="0" borderId="0" xfId="0" applyNumberFormat="1" applyFont="1" applyAlignment="1">
      <alignment horizontal="center" vertical="center" wrapText="1"/>
    </xf>
    <xf numFmtId="165" fontId="0" fillId="0" borderId="0" xfId="0" applyNumberFormat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65" fontId="9" fillId="0" borderId="0" xfId="0" applyNumberFormat="1" applyFont="1" applyBorder="1" applyAlignment="1">
      <alignment horizontal="center" vertical="center"/>
    </xf>
    <xf numFmtId="165" fontId="4" fillId="0" borderId="6" xfId="0" applyNumberFormat="1" applyFont="1" applyFill="1" applyBorder="1" applyAlignment="1">
      <alignment horizontal="center" vertical="center"/>
    </xf>
    <xf numFmtId="165" fontId="4" fillId="0" borderId="3" xfId="0" applyNumberFormat="1" applyFont="1" applyFill="1" applyBorder="1" applyAlignment="1">
      <alignment horizontal="center" vertical="center"/>
    </xf>
    <xf numFmtId="165" fontId="9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center" wrapText="1"/>
    </xf>
    <xf numFmtId="165" fontId="4" fillId="0" borderId="0" xfId="0" applyNumberFormat="1" applyFont="1" applyBorder="1"/>
    <xf numFmtId="165" fontId="5" fillId="0" borderId="0" xfId="0" applyNumberFormat="1" applyFont="1"/>
    <xf numFmtId="165" fontId="20" fillId="0" borderId="1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20" fillId="0" borderId="3" xfId="0" applyFont="1" applyFill="1" applyBorder="1" applyAlignment="1">
      <alignment horizontal="center" vertical="top" wrapText="1"/>
    </xf>
    <xf numFmtId="0" fontId="20" fillId="0" borderId="4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vertical="center"/>
    </xf>
    <xf numFmtId="167" fontId="20" fillId="4" borderId="1" xfId="0" applyNumberFormat="1" applyFont="1" applyFill="1" applyBorder="1" applyAlignment="1">
      <alignment horizontal="center" vertical="center" wrapText="1"/>
    </xf>
    <xf numFmtId="165" fontId="4" fillId="4" borderId="7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165" fontId="0" fillId="0" borderId="0" xfId="0" applyNumberFormat="1" applyFill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0" fontId="9" fillId="0" borderId="13" xfId="0" applyFont="1" applyBorder="1"/>
    <xf numFmtId="0" fontId="9" fillId="0" borderId="17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5" xfId="0" applyFont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/>
    <xf numFmtId="0" fontId="3" fillId="0" borderId="5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/>
    </xf>
    <xf numFmtId="165" fontId="5" fillId="0" borderId="15" xfId="0" applyNumberFormat="1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wrapText="1"/>
    </xf>
    <xf numFmtId="167" fontId="14" fillId="0" borderId="1" xfId="0" applyNumberFormat="1" applyFont="1" applyBorder="1" applyAlignment="1"/>
    <xf numFmtId="167" fontId="14" fillId="0" borderId="1" xfId="0" applyNumberFormat="1" applyFont="1" applyBorder="1" applyAlignment="1">
      <alignment vertical="center" wrapText="1"/>
    </xf>
    <xf numFmtId="165" fontId="5" fillId="0" borderId="15" xfId="0" applyNumberFormat="1" applyFont="1" applyFill="1" applyBorder="1" applyAlignment="1">
      <alignment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5" fillId="5" borderId="2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top"/>
    </xf>
    <xf numFmtId="165" fontId="4" fillId="0" borderId="18" xfId="0" applyNumberFormat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top"/>
    </xf>
    <xf numFmtId="0" fontId="26" fillId="0" borderId="0" xfId="0" applyFont="1" applyBorder="1"/>
    <xf numFmtId="0" fontId="26" fillId="0" borderId="0" xfId="0" applyFont="1" applyBorder="1" applyAlignment="1">
      <alignment horizontal="center"/>
    </xf>
    <xf numFmtId="165" fontId="7" fillId="0" borderId="0" xfId="0" applyNumberFormat="1" applyFont="1" applyBorder="1"/>
    <xf numFmtId="0" fontId="26" fillId="0" borderId="0" xfId="0" applyFont="1" applyBorder="1" applyAlignment="1">
      <alignment vertical="top"/>
    </xf>
    <xf numFmtId="0" fontId="26" fillId="0" borderId="0" xfId="0" applyFont="1" applyBorder="1" applyAlignment="1">
      <alignment vertical="justify"/>
    </xf>
    <xf numFmtId="165" fontId="26" fillId="0" borderId="0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/>
    </xf>
    <xf numFmtId="0" fontId="0" fillId="0" borderId="0" xfId="0" applyFill="1" applyAlignment="1">
      <alignment horizontal="center" wrapText="1"/>
    </xf>
    <xf numFmtId="0" fontId="0" fillId="0" borderId="0" xfId="0" applyFill="1" applyBorder="1" applyAlignment="1"/>
    <xf numFmtId="0" fontId="0" fillId="0" borderId="24" xfId="0" applyFill="1" applyBorder="1" applyAlignment="1">
      <alignment horizontal="center"/>
    </xf>
    <xf numFmtId="165" fontId="4" fillId="0" borderId="3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vertical="center" wrapText="1"/>
    </xf>
    <xf numFmtId="165" fontId="20" fillId="0" borderId="1" xfId="0" applyNumberFormat="1" applyFont="1" applyBorder="1" applyAlignment="1">
      <alignment vertical="center"/>
    </xf>
    <xf numFmtId="165" fontId="20" fillId="0" borderId="3" xfId="0" applyNumberFormat="1" applyFont="1" applyFill="1" applyBorder="1" applyAlignment="1">
      <alignment horizontal="center" vertical="top"/>
    </xf>
    <xf numFmtId="165" fontId="20" fillId="0" borderId="1" xfId="0" applyNumberFormat="1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20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/>
    <xf numFmtId="165" fontId="4" fillId="0" borderId="9" xfId="0" applyNumberFormat="1" applyFont="1" applyFill="1" applyBorder="1" applyAlignment="1">
      <alignment horizontal="center" vertical="center"/>
    </xf>
    <xf numFmtId="165" fontId="4" fillId="0" borderId="15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vertical="center" wrapText="1"/>
    </xf>
    <xf numFmtId="167" fontId="11" fillId="0" borderId="1" xfId="0" applyNumberFormat="1" applyFont="1" applyFill="1" applyBorder="1" applyAlignment="1">
      <alignment vertical="center" wrapText="1"/>
    </xf>
    <xf numFmtId="167" fontId="11" fillId="0" borderId="1" xfId="0" applyNumberFormat="1" applyFont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top" wrapText="1"/>
    </xf>
    <xf numFmtId="165" fontId="4" fillId="0" borderId="1" xfId="0" applyNumberFormat="1" applyFont="1" applyFill="1" applyBorder="1" applyAlignment="1">
      <alignment horizontal="center" vertical="top"/>
    </xf>
    <xf numFmtId="167" fontId="4" fillId="0" borderId="5" xfId="0" applyNumberFormat="1" applyFont="1" applyBorder="1" applyAlignment="1">
      <alignment horizontal="center" vertical="center" wrapText="1"/>
    </xf>
    <xf numFmtId="167" fontId="4" fillId="0" borderId="1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167" fontId="14" fillId="0" borderId="3" xfId="0" applyNumberFormat="1" applyFont="1" applyBorder="1" applyAlignment="1">
      <alignment vertical="center" wrapText="1"/>
    </xf>
    <xf numFmtId="165" fontId="5" fillId="0" borderId="4" xfId="0" applyNumberFormat="1" applyFont="1" applyFill="1" applyBorder="1" applyAlignment="1">
      <alignment vertical="center" wrapText="1"/>
    </xf>
    <xf numFmtId="0" fontId="14" fillId="0" borderId="27" xfId="0" applyFont="1" applyBorder="1"/>
    <xf numFmtId="167" fontId="14" fillId="0" borderId="28" xfId="0" applyNumberFormat="1" applyFont="1" applyBorder="1" applyAlignment="1">
      <alignment horizontal="center"/>
    </xf>
    <xf numFmtId="167" fontId="14" fillId="0" borderId="28" xfId="0" applyNumberFormat="1" applyFont="1" applyBorder="1"/>
    <xf numFmtId="167" fontId="16" fillId="0" borderId="29" xfId="0" applyNumberFormat="1" applyFont="1" applyBorder="1"/>
    <xf numFmtId="0" fontId="27" fillId="0" borderId="0" xfId="0" applyFont="1" applyFill="1" applyBorder="1"/>
    <xf numFmtId="0" fontId="24" fillId="0" borderId="1" xfId="0" applyFont="1" applyFill="1" applyBorder="1"/>
    <xf numFmtId="167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top" wrapText="1"/>
    </xf>
    <xf numFmtId="165" fontId="2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vertical="justify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justify"/>
    </xf>
    <xf numFmtId="0" fontId="9" fillId="0" borderId="1" xfId="0" applyFont="1" applyBorder="1" applyAlignment="1">
      <alignment vertical="justify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/>
    <xf numFmtId="0" fontId="4" fillId="0" borderId="0" xfId="0" applyFont="1" applyBorder="1" applyAlignment="1"/>
    <xf numFmtId="1" fontId="0" fillId="0" borderId="1" xfId="0" applyNumberFormat="1" applyFill="1" applyBorder="1" applyAlignment="1">
      <alignment horizontal="center"/>
    </xf>
    <xf numFmtId="167" fontId="11" fillId="0" borderId="5" xfId="0" applyNumberFormat="1" applyFont="1" applyBorder="1" applyAlignment="1">
      <alignment vertical="center" wrapText="1"/>
    </xf>
    <xf numFmtId="0" fontId="11" fillId="0" borderId="6" xfId="0" applyFont="1" applyFill="1" applyBorder="1" applyAlignment="1">
      <alignment horizontal="center" vertical="top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 wrapText="1"/>
    </xf>
    <xf numFmtId="0" fontId="14" fillId="3" borderId="0" xfId="0" applyFont="1" applyFill="1"/>
    <xf numFmtId="1" fontId="0" fillId="3" borderId="0" xfId="0" applyNumberFormat="1" applyFill="1" applyAlignment="1">
      <alignment horizontal="center"/>
    </xf>
    <xf numFmtId="165" fontId="0" fillId="3" borderId="0" xfId="0" applyNumberFormat="1" applyFill="1" applyAlignment="1">
      <alignment horizontal="right"/>
    </xf>
    <xf numFmtId="0" fontId="14" fillId="3" borderId="1" xfId="0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65" fontId="4" fillId="3" borderId="0" xfId="0" applyNumberFormat="1" applyFont="1" applyFill="1" applyBorder="1" applyAlignment="1">
      <alignment horizontal="right"/>
    </xf>
    <xf numFmtId="1" fontId="0" fillId="3" borderId="0" xfId="0" applyNumberFormat="1" applyFill="1" applyBorder="1" applyAlignment="1">
      <alignment horizontal="center"/>
    </xf>
    <xf numFmtId="165" fontId="0" fillId="3" borderId="0" xfId="0" applyNumberFormat="1" applyFill="1" applyBorder="1" applyAlignment="1">
      <alignment horizontal="right"/>
    </xf>
    <xf numFmtId="1" fontId="19" fillId="3" borderId="0" xfId="0" applyNumberFormat="1" applyFont="1" applyFill="1" applyAlignment="1">
      <alignment horizontal="center" vertical="center" wrapText="1"/>
    </xf>
    <xf numFmtId="165" fontId="19" fillId="3" borderId="0" xfId="0" applyNumberFormat="1" applyFont="1" applyFill="1" applyAlignment="1">
      <alignment horizontal="right" vertical="center" wrapText="1"/>
    </xf>
    <xf numFmtId="1" fontId="0" fillId="3" borderId="0" xfId="0" applyNumberFormat="1" applyFill="1" applyAlignment="1">
      <alignment horizontal="center" vertical="center" wrapText="1"/>
    </xf>
    <xf numFmtId="165" fontId="0" fillId="3" borderId="0" xfId="0" applyNumberFormat="1" applyFill="1" applyAlignment="1">
      <alignment horizontal="right" vertical="center" wrapText="1"/>
    </xf>
    <xf numFmtId="1" fontId="14" fillId="3" borderId="11" xfId="0" applyNumberFormat="1" applyFont="1" applyFill="1" applyBorder="1" applyAlignment="1">
      <alignment horizontal="center"/>
    </xf>
    <xf numFmtId="165" fontId="14" fillId="3" borderId="15" xfId="0" applyNumberFormat="1" applyFont="1" applyFill="1" applyBorder="1" applyAlignment="1">
      <alignment horizontal="right"/>
    </xf>
    <xf numFmtId="165" fontId="14" fillId="3" borderId="15" xfId="0" applyNumberFormat="1" applyFont="1" applyFill="1" applyBorder="1" applyAlignment="1"/>
    <xf numFmtId="1" fontId="14" fillId="3" borderId="11" xfId="0" applyNumberFormat="1" applyFont="1" applyFill="1" applyBorder="1" applyAlignment="1">
      <alignment horizontal="center" vertical="center"/>
    </xf>
    <xf numFmtId="1" fontId="14" fillId="3" borderId="11" xfId="2" applyNumberFormat="1" applyFont="1" applyFill="1" applyBorder="1" applyAlignment="1">
      <alignment horizontal="center"/>
    </xf>
    <xf numFmtId="165" fontId="14" fillId="3" borderId="15" xfId="2" applyNumberFormat="1" applyFont="1" applyFill="1" applyBorder="1" applyAlignment="1">
      <alignment horizontal="right"/>
    </xf>
    <xf numFmtId="165" fontId="14" fillId="3" borderId="15" xfId="0" applyNumberFormat="1" applyFont="1" applyFill="1" applyBorder="1" applyAlignment="1">
      <alignment horizontal="right" vertical="center"/>
    </xf>
    <xf numFmtId="1" fontId="14" fillId="3" borderId="11" xfId="3" applyNumberFormat="1" applyFont="1" applyFill="1" applyBorder="1" applyAlignment="1">
      <alignment horizontal="center" vertical="center"/>
    </xf>
    <xf numFmtId="165" fontId="14" fillId="3" borderId="15" xfId="3" applyNumberFormat="1" applyFont="1" applyFill="1" applyBorder="1" applyAlignment="1">
      <alignment horizontal="right"/>
    </xf>
    <xf numFmtId="1" fontId="14" fillId="3" borderId="11" xfId="3" applyNumberFormat="1" applyFont="1" applyFill="1" applyBorder="1" applyAlignment="1">
      <alignment horizontal="center"/>
    </xf>
    <xf numFmtId="165" fontId="14" fillId="3" borderId="15" xfId="0" applyNumberFormat="1" applyFont="1" applyFill="1" applyBorder="1"/>
    <xf numFmtId="0" fontId="14" fillId="3" borderId="11" xfId="0" applyNumberFormat="1" applyFont="1" applyFill="1" applyBorder="1" applyAlignment="1">
      <alignment horizontal="center" vertical="center"/>
    </xf>
    <xf numFmtId="165" fontId="14" fillId="3" borderId="15" xfId="0" applyNumberFormat="1" applyFont="1" applyFill="1" applyBorder="1" applyAlignment="1">
      <alignment vertical="center"/>
    </xf>
    <xf numFmtId="0" fontId="14" fillId="3" borderId="15" xfId="0" applyFont="1" applyFill="1" applyBorder="1"/>
    <xf numFmtId="0" fontId="14" fillId="3" borderId="11" xfId="0" applyFont="1" applyFill="1" applyBorder="1" applyAlignment="1">
      <alignment horizontal="center"/>
    </xf>
    <xf numFmtId="165" fontId="14" fillId="3" borderId="15" xfId="0" applyNumberFormat="1" applyFont="1" applyFill="1" applyBorder="1" applyAlignment="1">
      <alignment horizontal="center" vertical="center"/>
    </xf>
    <xf numFmtId="1" fontId="5" fillId="3" borderId="13" xfId="0" applyNumberFormat="1" applyFont="1" applyFill="1" applyBorder="1" applyAlignment="1">
      <alignment horizontal="center"/>
    </xf>
    <xf numFmtId="167" fontId="5" fillId="3" borderId="7" xfId="0" applyNumberFormat="1" applyFont="1" applyFill="1" applyBorder="1" applyAlignment="1">
      <alignment horizontal="right"/>
    </xf>
    <xf numFmtId="49" fontId="14" fillId="3" borderId="1" xfId="0" applyNumberFormat="1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 vertical="top" wrapText="1"/>
    </xf>
    <xf numFmtId="0" fontId="14" fillId="3" borderId="34" xfId="0" applyFont="1" applyFill="1" applyBorder="1" applyAlignment="1">
      <alignment horizontal="center"/>
    </xf>
    <xf numFmtId="165" fontId="14" fillId="3" borderId="25" xfId="0" applyNumberFormat="1" applyFont="1" applyFill="1" applyBorder="1" applyAlignment="1">
      <alignment horizontal="right"/>
    </xf>
    <xf numFmtId="0" fontId="14" fillId="3" borderId="34" xfId="2" applyFont="1" applyFill="1" applyBorder="1"/>
    <xf numFmtId="165" fontId="14" fillId="3" borderId="25" xfId="0" applyNumberFormat="1" applyFont="1" applyFill="1" applyBorder="1" applyAlignment="1">
      <alignment horizontal="center" vertical="center"/>
    </xf>
    <xf numFmtId="165" fontId="14" fillId="3" borderId="25" xfId="0" applyNumberFormat="1" applyFont="1" applyFill="1" applyBorder="1" applyAlignment="1">
      <alignment horizontal="right" vertical="center"/>
    </xf>
    <xf numFmtId="165" fontId="14" fillId="3" borderId="25" xfId="0" applyNumberFormat="1" applyFont="1" applyFill="1" applyBorder="1" applyAlignment="1">
      <alignment horizontal="center"/>
    </xf>
    <xf numFmtId="164" fontId="14" fillId="3" borderId="25" xfId="0" applyNumberFormat="1" applyFont="1" applyFill="1" applyBorder="1" applyAlignment="1">
      <alignment horizontal="right"/>
    </xf>
    <xf numFmtId="167" fontId="5" fillId="3" borderId="11" xfId="0" applyNumberFormat="1" applyFont="1" applyFill="1" applyBorder="1" applyAlignment="1">
      <alignment vertical="center"/>
    </xf>
    <xf numFmtId="165" fontId="14" fillId="3" borderId="15" xfId="0" applyNumberFormat="1" applyFont="1" applyFill="1" applyBorder="1" applyAlignment="1">
      <alignment horizontal="center"/>
    </xf>
    <xf numFmtId="0" fontId="14" fillId="3" borderId="1" xfId="3" applyFont="1" applyFill="1" applyBorder="1" applyAlignment="1">
      <alignment horizontal="center"/>
    </xf>
    <xf numFmtId="165" fontId="14" fillId="3" borderId="25" xfId="3" applyNumberFormat="1" applyFont="1" applyFill="1" applyBorder="1" applyAlignment="1">
      <alignment horizontal="right"/>
    </xf>
    <xf numFmtId="0" fontId="14" fillId="3" borderId="1" xfId="0" applyFont="1" applyFill="1" applyBorder="1" applyAlignment="1">
      <alignment horizontal="left" vertical="top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/>
    </xf>
    <xf numFmtId="165" fontId="4" fillId="3" borderId="3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14" fillId="3" borderId="11" xfId="0" applyFont="1" applyFill="1" applyBorder="1"/>
    <xf numFmtId="0" fontId="14" fillId="3" borderId="11" xfId="0" applyFont="1" applyFill="1" applyBorder="1" applyAlignment="1">
      <alignment horizontal="left" vertical="top" wrapText="1"/>
    </xf>
    <xf numFmtId="0" fontId="14" fillId="3" borderId="11" xfId="0" applyFont="1" applyFill="1" applyBorder="1" applyAlignment="1">
      <alignment vertical="top" wrapText="1"/>
    </xf>
    <xf numFmtId="0" fontId="14" fillId="3" borderId="11" xfId="3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/>
    </xf>
    <xf numFmtId="0" fontId="14" fillId="3" borderId="11" xfId="2" applyFont="1" applyFill="1" applyBorder="1"/>
    <xf numFmtId="0" fontId="5" fillId="3" borderId="11" xfId="0" applyFont="1" applyFill="1" applyBorder="1"/>
    <xf numFmtId="0" fontId="14" fillId="3" borderId="13" xfId="0" applyFont="1" applyFill="1" applyBorder="1"/>
    <xf numFmtId="9" fontId="14" fillId="3" borderId="6" xfId="0" applyNumberFormat="1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165" fontId="5" fillId="10" borderId="29" xfId="0" applyNumberFormat="1" applyFont="1" applyFill="1" applyBorder="1" applyAlignment="1">
      <alignment horizontal="right" vertical="center" wrapText="1"/>
    </xf>
    <xf numFmtId="0" fontId="14" fillId="3" borderId="10" xfId="0" applyFont="1" applyFill="1" applyBorder="1"/>
    <xf numFmtId="0" fontId="14" fillId="3" borderId="5" xfId="0" applyFont="1" applyFill="1" applyBorder="1" applyAlignment="1">
      <alignment horizontal="center"/>
    </xf>
    <xf numFmtId="165" fontId="5" fillId="11" borderId="29" xfId="0" applyNumberFormat="1" applyFont="1" applyFill="1" applyBorder="1" applyAlignment="1">
      <alignment vertical="center"/>
    </xf>
    <xf numFmtId="0" fontId="14" fillId="3" borderId="36" xfId="0" applyFont="1" applyFill="1" applyBorder="1"/>
    <xf numFmtId="0" fontId="14" fillId="3" borderId="16" xfId="0" applyFont="1" applyFill="1" applyBorder="1" applyAlignment="1">
      <alignment horizontal="center"/>
    </xf>
    <xf numFmtId="165" fontId="14" fillId="3" borderId="35" xfId="0" applyNumberFormat="1" applyFont="1" applyFill="1" applyBorder="1" applyAlignment="1">
      <alignment horizontal="right" vertical="center"/>
    </xf>
    <xf numFmtId="165" fontId="14" fillId="3" borderId="7" xfId="0" applyNumberFormat="1" applyFont="1" applyFill="1" applyBorder="1" applyAlignment="1">
      <alignment horizontal="right"/>
    </xf>
    <xf numFmtId="165" fontId="14" fillId="3" borderId="9" xfId="0" applyNumberFormat="1" applyFont="1" applyFill="1" applyBorder="1" applyAlignment="1">
      <alignment horizontal="right"/>
    </xf>
    <xf numFmtId="165" fontId="5" fillId="11" borderId="29" xfId="0" applyNumberFormat="1" applyFont="1" applyFill="1" applyBorder="1" applyAlignment="1">
      <alignment horizontal="right" vertical="center"/>
    </xf>
    <xf numFmtId="0" fontId="14" fillId="3" borderId="2" xfId="0" applyFont="1" applyFill="1" applyBorder="1"/>
    <xf numFmtId="0" fontId="14" fillId="3" borderId="3" xfId="0" applyFont="1" applyFill="1" applyBorder="1" applyAlignment="1">
      <alignment horizontal="center"/>
    </xf>
    <xf numFmtId="165" fontId="14" fillId="3" borderId="4" xfId="0" applyNumberFormat="1" applyFont="1" applyFill="1" applyBorder="1" applyAlignment="1">
      <alignment horizontal="right"/>
    </xf>
    <xf numFmtId="165" fontId="14" fillId="3" borderId="35" xfId="0" applyNumberFormat="1" applyFont="1" applyFill="1" applyBorder="1" applyAlignment="1">
      <alignment horizontal="right"/>
    </xf>
    <xf numFmtId="49" fontId="14" fillId="3" borderId="16" xfId="0" applyNumberFormat="1" applyFont="1" applyFill="1" applyBorder="1" applyAlignment="1">
      <alignment horizontal="center"/>
    </xf>
    <xf numFmtId="165" fontId="14" fillId="3" borderId="35" xfId="0" applyNumberFormat="1" applyFont="1" applyFill="1" applyBorder="1" applyAlignment="1"/>
    <xf numFmtId="165" fontId="14" fillId="3" borderId="7" xfId="0" applyNumberFormat="1" applyFont="1" applyFill="1" applyBorder="1" applyAlignment="1"/>
    <xf numFmtId="0" fontId="14" fillId="3" borderId="13" xfId="0" applyFont="1" applyFill="1" applyBorder="1" applyAlignment="1">
      <alignment horizontal="left" vertical="top" wrapText="1"/>
    </xf>
    <xf numFmtId="0" fontId="14" fillId="3" borderId="6" xfId="0" applyFont="1" applyFill="1" applyBorder="1" applyAlignment="1">
      <alignment horizontal="center" vertical="top" wrapText="1"/>
    </xf>
    <xf numFmtId="0" fontId="14" fillId="3" borderId="13" xfId="2" applyFont="1" applyFill="1" applyBorder="1"/>
    <xf numFmtId="0" fontId="14" fillId="3" borderId="6" xfId="2" applyFont="1" applyFill="1" applyBorder="1" applyAlignment="1">
      <alignment horizontal="center"/>
    </xf>
    <xf numFmtId="0" fontId="14" fillId="3" borderId="10" xfId="0" applyFont="1" applyFill="1" applyBorder="1" applyAlignment="1">
      <alignment horizontal="left" vertical="top" wrapText="1"/>
    </xf>
    <xf numFmtId="0" fontId="14" fillId="3" borderId="36" xfId="0" applyFont="1" applyFill="1" applyBorder="1" applyAlignment="1">
      <alignment horizontal="left" vertical="top" wrapText="1"/>
    </xf>
    <xf numFmtId="0" fontId="14" fillId="3" borderId="16" xfId="0" applyFont="1" applyFill="1" applyBorder="1" applyAlignment="1">
      <alignment horizontal="center" vertical="top" wrapText="1"/>
    </xf>
    <xf numFmtId="165" fontId="14" fillId="3" borderId="35" xfId="0" applyNumberFormat="1" applyFont="1" applyFill="1" applyBorder="1" applyAlignment="1">
      <alignment vertical="center"/>
    </xf>
    <xf numFmtId="165" fontId="14" fillId="3" borderId="7" xfId="0" applyNumberFormat="1" applyFont="1" applyFill="1" applyBorder="1" applyAlignment="1">
      <alignment vertical="center"/>
    </xf>
    <xf numFmtId="0" fontId="14" fillId="3" borderId="27" xfId="0" applyFont="1" applyFill="1" applyBorder="1" applyAlignment="1">
      <alignment horizontal="left" vertical="top" wrapText="1"/>
    </xf>
    <xf numFmtId="0" fontId="14" fillId="3" borderId="28" xfId="0" applyFont="1" applyFill="1" applyBorder="1" applyAlignment="1">
      <alignment horizontal="center" vertical="top" wrapText="1"/>
    </xf>
    <xf numFmtId="165" fontId="14" fillId="3" borderId="29" xfId="0" applyNumberFormat="1" applyFont="1" applyFill="1" applyBorder="1" applyAlignment="1">
      <alignment horizontal="right" vertical="center"/>
    </xf>
    <xf numFmtId="165" fontId="14" fillId="3" borderId="7" xfId="0" applyNumberFormat="1" applyFont="1" applyFill="1" applyBorder="1" applyAlignment="1">
      <alignment horizontal="right" vertical="center"/>
    </xf>
    <xf numFmtId="0" fontId="14" fillId="3" borderId="13" xfId="0" applyFont="1" applyFill="1" applyBorder="1" applyAlignment="1">
      <alignment vertical="top" wrapText="1"/>
    </xf>
    <xf numFmtId="0" fontId="14" fillId="3" borderId="6" xfId="0" applyFont="1" applyFill="1" applyBorder="1" applyAlignment="1">
      <alignment horizontal="left" vertical="top" wrapText="1"/>
    </xf>
    <xf numFmtId="165" fontId="0" fillId="10" borderId="29" xfId="0" applyNumberFormat="1" applyFill="1" applyBorder="1" applyAlignment="1">
      <alignment horizontal="right"/>
    </xf>
    <xf numFmtId="165" fontId="5" fillId="11" borderId="29" xfId="0" applyNumberFormat="1" applyFont="1" applyFill="1" applyBorder="1" applyAlignment="1">
      <alignment horizontal="center" vertical="center"/>
    </xf>
    <xf numFmtId="165" fontId="14" fillId="11" borderId="29" xfId="0" applyNumberFormat="1" applyFont="1" applyFill="1" applyBorder="1" applyAlignment="1">
      <alignment horizontal="right" vertical="center"/>
    </xf>
    <xf numFmtId="0" fontId="14" fillId="3" borderId="36" xfId="0" applyFont="1" applyFill="1" applyBorder="1" applyAlignment="1">
      <alignment vertical="top" wrapText="1"/>
    </xf>
    <xf numFmtId="165" fontId="14" fillId="3" borderId="7" xfId="2" applyNumberFormat="1" applyFont="1" applyFill="1" applyBorder="1" applyAlignment="1">
      <alignment horizontal="right"/>
    </xf>
    <xf numFmtId="165" fontId="14" fillId="3" borderId="35" xfId="2" applyNumberFormat="1" applyFont="1" applyFill="1" applyBorder="1" applyAlignment="1">
      <alignment horizontal="right"/>
    </xf>
    <xf numFmtId="49" fontId="14" fillId="3" borderId="6" xfId="0" applyNumberFormat="1" applyFont="1" applyFill="1" applyBorder="1" applyAlignment="1">
      <alignment horizontal="center"/>
    </xf>
    <xf numFmtId="165" fontId="5" fillId="10" borderId="15" xfId="0" applyNumberFormat="1" applyFont="1" applyFill="1" applyBorder="1" applyAlignment="1">
      <alignment horizontal="right" vertical="center"/>
    </xf>
    <xf numFmtId="0" fontId="14" fillId="3" borderId="13" xfId="3" applyFont="1" applyFill="1" applyBorder="1"/>
    <xf numFmtId="0" fontId="14" fillId="3" borderId="6" xfId="3" applyFont="1" applyFill="1" applyBorder="1" applyAlignment="1">
      <alignment horizontal="center"/>
    </xf>
    <xf numFmtId="0" fontId="14" fillId="11" borderId="27" xfId="0" applyFont="1" applyFill="1" applyBorder="1" applyAlignment="1">
      <alignment vertical="top" wrapText="1"/>
    </xf>
    <xf numFmtId="0" fontId="14" fillId="11" borderId="28" xfId="0" applyFont="1" applyFill="1" applyBorder="1" applyAlignment="1">
      <alignment vertical="top" wrapText="1"/>
    </xf>
    <xf numFmtId="165" fontId="14" fillId="3" borderId="35" xfId="3" applyNumberFormat="1" applyFont="1" applyFill="1" applyBorder="1" applyAlignment="1">
      <alignment horizontal="right"/>
    </xf>
    <xf numFmtId="0" fontId="14" fillId="3" borderId="27" xfId="0" applyFont="1" applyFill="1" applyBorder="1"/>
    <xf numFmtId="49" fontId="14" fillId="3" borderId="28" xfId="0" applyNumberFormat="1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165" fontId="14" fillId="3" borderId="29" xfId="0" applyNumberFormat="1" applyFont="1" applyFill="1" applyBorder="1" applyAlignment="1">
      <alignment horizontal="right"/>
    </xf>
    <xf numFmtId="0" fontId="0" fillId="10" borderId="29" xfId="0" applyFill="1" applyBorder="1"/>
    <xf numFmtId="165" fontId="14" fillId="3" borderId="7" xfId="3" applyNumberFormat="1" applyFont="1" applyFill="1" applyBorder="1" applyAlignment="1">
      <alignment horizontal="right"/>
    </xf>
    <xf numFmtId="165" fontId="14" fillId="11" borderId="29" xfId="3" applyNumberFormat="1" applyFont="1" applyFill="1" applyBorder="1" applyAlignment="1">
      <alignment horizontal="right"/>
    </xf>
    <xf numFmtId="0" fontId="14" fillId="11" borderId="27" xfId="0" applyFont="1" applyFill="1" applyBorder="1" applyAlignment="1">
      <alignment horizontal="left"/>
    </xf>
    <xf numFmtId="0" fontId="14" fillId="11" borderId="28" xfId="0" applyFont="1" applyFill="1" applyBorder="1" applyAlignment="1">
      <alignment horizontal="left"/>
    </xf>
    <xf numFmtId="165" fontId="5" fillId="10" borderId="29" xfId="0" applyNumberFormat="1" applyFont="1" applyFill="1" applyBorder="1" applyAlignment="1"/>
    <xf numFmtId="0" fontId="14" fillId="11" borderId="27" xfId="0" applyFont="1" applyFill="1" applyBorder="1" applyAlignment="1"/>
    <xf numFmtId="0" fontId="14" fillId="11" borderId="28" xfId="0" applyFont="1" applyFill="1" applyBorder="1" applyAlignment="1"/>
    <xf numFmtId="165" fontId="14" fillId="10" borderId="53" xfId="0" applyNumberFormat="1" applyFont="1" applyFill="1" applyBorder="1" applyAlignment="1">
      <alignment wrapText="1"/>
    </xf>
    <xf numFmtId="0" fontId="5" fillId="11" borderId="53" xfId="0" applyFont="1" applyFill="1" applyBorder="1" applyAlignment="1"/>
    <xf numFmtId="165" fontId="14" fillId="3" borderId="54" xfId="0" applyNumberFormat="1" applyFont="1" applyFill="1" applyBorder="1" applyAlignment="1">
      <alignment horizontal="right"/>
    </xf>
    <xf numFmtId="165" fontId="14" fillId="3" borderId="25" xfId="2" applyNumberFormat="1" applyFont="1" applyFill="1" applyBorder="1" applyAlignment="1">
      <alignment horizontal="right"/>
    </xf>
    <xf numFmtId="165" fontId="14" fillId="3" borderId="55" xfId="0" applyNumberFormat="1" applyFont="1" applyFill="1" applyBorder="1" applyAlignment="1">
      <alignment horizontal="right"/>
    </xf>
    <xf numFmtId="167" fontId="5" fillId="11" borderId="53" xfId="0" applyNumberFormat="1" applyFont="1" applyFill="1" applyBorder="1" applyAlignment="1">
      <alignment vertical="center"/>
    </xf>
    <xf numFmtId="165" fontId="14" fillId="3" borderId="54" xfId="0" applyNumberFormat="1" applyFont="1" applyFill="1" applyBorder="1" applyAlignment="1">
      <alignment horizontal="center"/>
    </xf>
    <xf numFmtId="165" fontId="14" fillId="3" borderId="55" xfId="0" applyNumberFormat="1" applyFont="1" applyFill="1" applyBorder="1" applyAlignment="1">
      <alignment horizontal="right" vertical="center"/>
    </xf>
    <xf numFmtId="165" fontId="14" fillId="3" borderId="55" xfId="2" applyNumberFormat="1" applyFont="1" applyFill="1" applyBorder="1" applyAlignment="1">
      <alignment horizontal="right"/>
    </xf>
    <xf numFmtId="165" fontId="14" fillId="3" borderId="54" xfId="0" applyNumberFormat="1" applyFont="1" applyFill="1" applyBorder="1" applyAlignment="1">
      <alignment horizontal="right" vertical="center"/>
    </xf>
    <xf numFmtId="165" fontId="14" fillId="3" borderId="53" xfId="0" applyNumberFormat="1" applyFont="1" applyFill="1" applyBorder="1" applyAlignment="1">
      <alignment horizontal="right" vertical="center"/>
    </xf>
    <xf numFmtId="165" fontId="14" fillId="3" borderId="54" xfId="0" applyNumberFormat="1" applyFont="1" applyFill="1" applyBorder="1" applyAlignment="1">
      <alignment horizontal="center" vertical="center"/>
    </xf>
    <xf numFmtId="165" fontId="14" fillId="3" borderId="55" xfId="0" applyNumberFormat="1" applyFont="1" applyFill="1" applyBorder="1" applyAlignment="1">
      <alignment horizontal="center" vertical="center"/>
    </xf>
    <xf numFmtId="165" fontId="14" fillId="10" borderId="53" xfId="0" applyNumberFormat="1" applyFont="1" applyFill="1" applyBorder="1" applyAlignment="1">
      <alignment horizontal="right"/>
    </xf>
    <xf numFmtId="167" fontId="14" fillId="3" borderId="25" xfId="0" applyNumberFormat="1" applyFont="1" applyFill="1" applyBorder="1" applyAlignment="1">
      <alignment vertical="center"/>
    </xf>
    <xf numFmtId="167" fontId="14" fillId="3" borderId="55" xfId="0" applyNumberFormat="1" applyFont="1" applyFill="1" applyBorder="1" applyAlignment="1">
      <alignment vertical="center"/>
    </xf>
    <xf numFmtId="165" fontId="14" fillId="3" borderId="55" xfId="0" applyNumberFormat="1" applyFont="1" applyFill="1" applyBorder="1" applyAlignment="1">
      <alignment horizontal="center"/>
    </xf>
    <xf numFmtId="167" fontId="5" fillId="10" borderId="53" xfId="0" applyNumberFormat="1" applyFont="1" applyFill="1" applyBorder="1" applyAlignment="1">
      <alignment vertical="center"/>
    </xf>
    <xf numFmtId="165" fontId="14" fillId="3" borderId="55" xfId="3" applyNumberFormat="1" applyFont="1" applyFill="1" applyBorder="1" applyAlignment="1">
      <alignment horizontal="right"/>
    </xf>
    <xf numFmtId="165" fontId="14" fillId="3" borderId="53" xfId="0" applyNumberFormat="1" applyFont="1" applyFill="1" applyBorder="1" applyAlignment="1">
      <alignment horizontal="center"/>
    </xf>
    <xf numFmtId="165" fontId="14" fillId="3" borderId="48" xfId="0" applyNumberFormat="1" applyFont="1" applyFill="1" applyBorder="1" applyAlignment="1">
      <alignment horizontal="right"/>
    </xf>
    <xf numFmtId="165" fontId="14" fillId="11" borderId="53" xfId="0" applyNumberFormat="1" applyFont="1" applyFill="1" applyBorder="1" applyAlignment="1">
      <alignment horizontal="center"/>
    </xf>
    <xf numFmtId="165" fontId="14" fillId="3" borderId="54" xfId="0" applyNumberFormat="1" applyFont="1" applyFill="1" applyBorder="1" applyAlignment="1">
      <alignment horizontal="left"/>
    </xf>
    <xf numFmtId="165" fontId="14" fillId="3" borderId="25" xfId="0" applyNumberFormat="1" applyFont="1" applyFill="1" applyBorder="1" applyAlignment="1">
      <alignment horizontal="left"/>
    </xf>
    <xf numFmtId="165" fontId="14" fillId="3" borderId="25" xfId="0" applyNumberFormat="1" applyFont="1" applyFill="1" applyBorder="1" applyAlignment="1">
      <alignment horizontal="left" vertical="center"/>
    </xf>
    <xf numFmtId="165" fontId="14" fillId="3" borderId="55" xfId="0" applyNumberFormat="1" applyFont="1" applyFill="1" applyBorder="1" applyAlignment="1">
      <alignment horizontal="left"/>
    </xf>
    <xf numFmtId="0" fontId="14" fillId="11" borderId="53" xfId="0" applyFont="1" applyFill="1" applyBorder="1" applyAlignment="1"/>
    <xf numFmtId="166" fontId="14" fillId="3" borderId="25" xfId="1" applyFont="1" applyFill="1" applyBorder="1" applyAlignment="1">
      <alignment horizontal="center"/>
    </xf>
    <xf numFmtId="166" fontId="14" fillId="3" borderId="25" xfId="0" applyNumberFormat="1" applyFont="1" applyFill="1" applyBorder="1"/>
    <xf numFmtId="165" fontId="14" fillId="3" borderId="25" xfId="0" applyNumberFormat="1" applyFont="1" applyFill="1" applyBorder="1" applyAlignment="1"/>
    <xf numFmtId="165" fontId="5" fillId="3" borderId="55" xfId="0" applyNumberFormat="1" applyFont="1" applyFill="1" applyBorder="1" applyAlignment="1">
      <alignment horizontal="right"/>
    </xf>
    <xf numFmtId="1" fontId="14" fillId="10" borderId="27" xfId="0" applyNumberFormat="1" applyFont="1" applyFill="1" applyBorder="1" applyAlignment="1">
      <alignment horizontal="center" wrapText="1"/>
    </xf>
    <xf numFmtId="0" fontId="5" fillId="11" borderId="27" xfId="0" applyFont="1" applyFill="1" applyBorder="1" applyAlignment="1"/>
    <xf numFmtId="0" fontId="14" fillId="3" borderId="36" xfId="0" applyFont="1" applyFill="1" applyBorder="1" applyAlignment="1">
      <alignment horizontal="left"/>
    </xf>
    <xf numFmtId="1" fontId="14" fillId="3" borderId="13" xfId="0" applyNumberFormat="1" applyFont="1" applyFill="1" applyBorder="1" applyAlignment="1">
      <alignment horizontal="center"/>
    </xf>
    <xf numFmtId="167" fontId="5" fillId="11" borderId="27" xfId="0" applyNumberFormat="1" applyFont="1" applyFill="1" applyBorder="1" applyAlignment="1">
      <alignment vertical="center"/>
    </xf>
    <xf numFmtId="1" fontId="14" fillId="3" borderId="36" xfId="0" applyNumberFormat="1" applyFont="1" applyFill="1" applyBorder="1" applyAlignment="1">
      <alignment horizontal="center"/>
    </xf>
    <xf numFmtId="1" fontId="14" fillId="3" borderId="36" xfId="0" applyNumberFormat="1" applyFont="1" applyFill="1" applyBorder="1" applyAlignment="1">
      <alignment horizontal="center" vertical="center"/>
    </xf>
    <xf numFmtId="167" fontId="5" fillId="3" borderId="36" xfId="0" applyNumberFormat="1" applyFont="1" applyFill="1" applyBorder="1" applyAlignment="1">
      <alignment horizontal="right" vertical="center"/>
    </xf>
    <xf numFmtId="165" fontId="5" fillId="3" borderId="35" xfId="0" applyNumberFormat="1" applyFont="1" applyFill="1" applyBorder="1" applyAlignment="1">
      <alignment horizontal="right" vertical="center"/>
    </xf>
    <xf numFmtId="1" fontId="14" fillId="3" borderId="13" xfId="2" applyNumberFormat="1" applyFont="1" applyFill="1" applyBorder="1" applyAlignment="1">
      <alignment horizontal="center"/>
    </xf>
    <xf numFmtId="1" fontId="14" fillId="3" borderId="36" xfId="2" applyNumberFormat="1" applyFont="1" applyFill="1" applyBorder="1" applyAlignment="1">
      <alignment horizontal="center"/>
    </xf>
    <xf numFmtId="1" fontId="14" fillId="3" borderId="27" xfId="2" applyNumberFormat="1" applyFont="1" applyFill="1" applyBorder="1" applyAlignment="1">
      <alignment horizontal="center"/>
    </xf>
    <xf numFmtId="1" fontId="14" fillId="3" borderId="13" xfId="0" applyNumberFormat="1" applyFont="1" applyFill="1" applyBorder="1" applyAlignment="1">
      <alignment horizontal="center" vertical="center"/>
    </xf>
    <xf numFmtId="1" fontId="14" fillId="10" borderId="27" xfId="0" applyNumberFormat="1" applyFont="1" applyFill="1" applyBorder="1" applyAlignment="1">
      <alignment horizontal="center"/>
    </xf>
    <xf numFmtId="1" fontId="14" fillId="11" borderId="27" xfId="0" applyNumberFormat="1" applyFont="1" applyFill="1" applyBorder="1" applyAlignment="1">
      <alignment horizontal="center"/>
    </xf>
    <xf numFmtId="167" fontId="5" fillId="3" borderId="13" xfId="0" applyNumberFormat="1" applyFont="1" applyFill="1" applyBorder="1" applyAlignment="1">
      <alignment vertical="center"/>
    </xf>
    <xf numFmtId="167" fontId="5" fillId="10" borderId="27" xfId="0" applyNumberFormat="1" applyFont="1" applyFill="1" applyBorder="1" applyAlignment="1">
      <alignment vertical="center"/>
    </xf>
    <xf numFmtId="1" fontId="14" fillId="3" borderId="36" xfId="3" applyNumberFormat="1" applyFont="1" applyFill="1" applyBorder="1" applyAlignment="1">
      <alignment horizontal="center" vertical="center"/>
    </xf>
    <xf numFmtId="1" fontId="14" fillId="3" borderId="27" xfId="0" applyNumberFormat="1" applyFont="1" applyFill="1" applyBorder="1" applyAlignment="1">
      <alignment horizontal="center"/>
    </xf>
    <xf numFmtId="1" fontId="14" fillId="3" borderId="10" xfId="0" applyNumberFormat="1" applyFont="1" applyFill="1" applyBorder="1" applyAlignment="1">
      <alignment horizontal="center" vertical="center"/>
    </xf>
    <xf numFmtId="1" fontId="14" fillId="10" borderId="27" xfId="0" applyNumberFormat="1" applyFont="1" applyFill="1" applyBorder="1" applyAlignment="1">
      <alignment horizontal="center" vertical="center"/>
    </xf>
    <xf numFmtId="1" fontId="14" fillId="3" borderId="13" xfId="3" applyNumberFormat="1" applyFont="1" applyFill="1" applyBorder="1" applyAlignment="1">
      <alignment horizontal="center" vertical="center"/>
    </xf>
    <xf numFmtId="1" fontId="14" fillId="3" borderId="13" xfId="3" applyNumberFormat="1" applyFont="1" applyFill="1" applyBorder="1" applyAlignment="1">
      <alignment horizontal="center"/>
    </xf>
    <xf numFmtId="1" fontId="14" fillId="11" borderId="27" xfId="3" applyNumberFormat="1" applyFont="1" applyFill="1" applyBorder="1" applyAlignment="1">
      <alignment horizontal="center" vertical="center"/>
    </xf>
    <xf numFmtId="165" fontId="14" fillId="10" borderId="29" xfId="0" applyNumberFormat="1" applyFont="1" applyFill="1" applyBorder="1" applyAlignment="1"/>
    <xf numFmtId="165" fontId="14" fillId="3" borderId="35" xfId="0" applyNumberFormat="1" applyFont="1" applyFill="1" applyBorder="1"/>
    <xf numFmtId="165" fontId="14" fillId="3" borderId="7" xfId="0" applyNumberFormat="1" applyFont="1" applyFill="1" applyBorder="1"/>
    <xf numFmtId="1" fontId="14" fillId="3" borderId="10" xfId="0" applyNumberFormat="1" applyFont="1" applyFill="1" applyBorder="1" applyAlignment="1">
      <alignment horizontal="center"/>
    </xf>
    <xf numFmtId="0" fontId="5" fillId="10" borderId="57" xfId="0" applyFont="1" applyFill="1" applyBorder="1" applyAlignment="1">
      <alignment horizontal="center" vertical="top" wrapText="1"/>
    </xf>
    <xf numFmtId="167" fontId="5" fillId="11" borderId="57" xfId="0" applyNumberFormat="1" applyFont="1" applyFill="1" applyBorder="1" applyAlignment="1">
      <alignment vertical="center"/>
    </xf>
    <xf numFmtId="0" fontId="14" fillId="3" borderId="22" xfId="0" applyFont="1" applyFill="1" applyBorder="1"/>
    <xf numFmtId="0" fontId="14" fillId="3" borderId="34" xfId="0" applyFont="1" applyFill="1" applyBorder="1"/>
    <xf numFmtId="0" fontId="14" fillId="3" borderId="31" xfId="0" applyFont="1" applyFill="1" applyBorder="1"/>
    <xf numFmtId="0" fontId="14" fillId="11" borderId="57" xfId="0" applyFont="1" applyFill="1" applyBorder="1"/>
    <xf numFmtId="0" fontId="14" fillId="3" borderId="31" xfId="2" applyFont="1" applyFill="1" applyBorder="1"/>
    <xf numFmtId="0" fontId="14" fillId="11" borderId="57" xfId="2" applyFont="1" applyFill="1" applyBorder="1"/>
    <xf numFmtId="0" fontId="14" fillId="3" borderId="22" xfId="2" applyFont="1" applyFill="1" applyBorder="1"/>
    <xf numFmtId="0" fontId="14" fillId="3" borderId="57" xfId="2" applyFont="1" applyFill="1" applyBorder="1"/>
    <xf numFmtId="0" fontId="14" fillId="3" borderId="0" xfId="2" applyFont="1" applyFill="1" applyBorder="1"/>
    <xf numFmtId="0" fontId="14" fillId="10" borderId="57" xfId="2" applyFont="1" applyFill="1" applyBorder="1"/>
    <xf numFmtId="0" fontId="14" fillId="3" borderId="49" xfId="2" applyFont="1" applyFill="1" applyBorder="1"/>
    <xf numFmtId="0" fontId="14" fillId="3" borderId="20" xfId="2" applyFont="1" applyFill="1" applyBorder="1"/>
    <xf numFmtId="165" fontId="5" fillId="10" borderId="51" xfId="0" applyNumberFormat="1" applyFont="1" applyFill="1" applyBorder="1" applyAlignment="1">
      <alignment horizontal="right" vertical="center" wrapText="1"/>
    </xf>
    <xf numFmtId="165" fontId="5" fillId="11" borderId="51" xfId="0" applyNumberFormat="1" applyFont="1" applyFill="1" applyBorder="1" applyAlignment="1">
      <alignment vertical="center"/>
    </xf>
    <xf numFmtId="165" fontId="14" fillId="3" borderId="23" xfId="0" applyNumberFormat="1" applyFont="1" applyFill="1" applyBorder="1" applyAlignment="1">
      <alignment horizontal="right" vertical="center"/>
    </xf>
    <xf numFmtId="165" fontId="14" fillId="3" borderId="58" xfId="0" applyNumberFormat="1" applyFont="1" applyFill="1" applyBorder="1" applyAlignment="1">
      <alignment horizontal="right"/>
    </xf>
    <xf numFmtId="165" fontId="14" fillId="3" borderId="59" xfId="0" applyNumberFormat="1" applyFont="1" applyFill="1" applyBorder="1" applyAlignment="1">
      <alignment horizontal="right"/>
    </xf>
    <xf numFmtId="165" fontId="5" fillId="11" borderId="51" xfId="0" applyNumberFormat="1" applyFont="1" applyFill="1" applyBorder="1" applyAlignment="1">
      <alignment horizontal="right" vertical="center"/>
    </xf>
    <xf numFmtId="165" fontId="14" fillId="3" borderId="23" xfId="0" applyNumberFormat="1" applyFont="1" applyFill="1" applyBorder="1" applyAlignment="1">
      <alignment horizontal="right"/>
    </xf>
    <xf numFmtId="165" fontId="14" fillId="3" borderId="23" xfId="0" applyNumberFormat="1" applyFont="1" applyFill="1" applyBorder="1" applyAlignment="1"/>
    <xf numFmtId="165" fontId="14" fillId="3" borderId="58" xfId="0" applyNumberFormat="1" applyFont="1" applyFill="1" applyBorder="1" applyAlignment="1"/>
    <xf numFmtId="165" fontId="14" fillId="3" borderId="59" xfId="0" applyNumberFormat="1" applyFont="1" applyFill="1" applyBorder="1" applyAlignment="1"/>
    <xf numFmtId="165" fontId="5" fillId="11" borderId="51" xfId="0" applyNumberFormat="1" applyFont="1" applyFill="1" applyBorder="1" applyAlignment="1"/>
    <xf numFmtId="165" fontId="14" fillId="3" borderId="23" xfId="2" applyNumberFormat="1" applyFont="1" applyFill="1" applyBorder="1" applyAlignment="1"/>
    <xf numFmtId="165" fontId="14" fillId="3" borderId="58" xfId="2" applyNumberFormat="1" applyFont="1" applyFill="1" applyBorder="1" applyAlignment="1"/>
    <xf numFmtId="165" fontId="14" fillId="3" borderId="59" xfId="2" applyNumberFormat="1" applyFont="1" applyFill="1" applyBorder="1" applyAlignment="1"/>
    <xf numFmtId="165" fontId="14" fillId="3" borderId="23" xfId="0" applyNumberFormat="1" applyFont="1" applyFill="1" applyBorder="1" applyAlignment="1">
      <alignment vertical="center"/>
    </xf>
    <xf numFmtId="165" fontId="14" fillId="3" borderId="58" xfId="0" applyNumberFormat="1" applyFont="1" applyFill="1" applyBorder="1" applyAlignment="1">
      <alignment vertical="center"/>
    </xf>
    <xf numFmtId="165" fontId="14" fillId="3" borderId="59" xfId="0" applyNumberFormat="1" applyFont="1" applyFill="1" applyBorder="1" applyAlignment="1">
      <alignment vertical="center"/>
    </xf>
    <xf numFmtId="165" fontId="14" fillId="3" borderId="51" xfId="0" applyNumberFormat="1" applyFont="1" applyFill="1" applyBorder="1" applyAlignment="1">
      <alignment horizontal="right" vertical="center"/>
    </xf>
    <xf numFmtId="165" fontId="14" fillId="3" borderId="58" xfId="0" applyNumberFormat="1" applyFont="1" applyFill="1" applyBorder="1" applyAlignment="1">
      <alignment horizontal="right" vertical="center"/>
    </xf>
    <xf numFmtId="165" fontId="14" fillId="3" borderId="59" xfId="0" applyNumberFormat="1" applyFont="1" applyFill="1" applyBorder="1" applyAlignment="1">
      <alignment horizontal="right" vertical="center"/>
    </xf>
    <xf numFmtId="165" fontId="0" fillId="10" borderId="51" xfId="0" applyNumberFormat="1" applyFill="1" applyBorder="1" applyAlignment="1">
      <alignment horizontal="right"/>
    </xf>
    <xf numFmtId="165" fontId="5" fillId="11" borderId="51" xfId="0" applyNumberFormat="1" applyFont="1" applyFill="1" applyBorder="1" applyAlignment="1">
      <alignment horizontal="center" vertical="center"/>
    </xf>
    <xf numFmtId="165" fontId="14" fillId="3" borderId="59" xfId="2" applyNumberFormat="1" applyFont="1" applyFill="1" applyBorder="1" applyAlignment="1">
      <alignment horizontal="right"/>
    </xf>
    <xf numFmtId="165" fontId="14" fillId="3" borderId="58" xfId="2" applyNumberFormat="1" applyFont="1" applyFill="1" applyBorder="1" applyAlignment="1">
      <alignment horizontal="right"/>
    </xf>
    <xf numFmtId="165" fontId="14" fillId="3" borderId="23" xfId="2" applyNumberFormat="1" applyFont="1" applyFill="1" applyBorder="1" applyAlignment="1">
      <alignment horizontal="right"/>
    </xf>
    <xf numFmtId="165" fontId="5" fillId="10" borderId="51" xfId="0" applyNumberFormat="1" applyFont="1" applyFill="1" applyBorder="1" applyAlignment="1">
      <alignment horizontal="right" vertical="center"/>
    </xf>
    <xf numFmtId="165" fontId="14" fillId="3" borderId="23" xfId="3" applyNumberFormat="1" applyFont="1" applyFill="1" applyBorder="1" applyAlignment="1">
      <alignment horizontal="right"/>
    </xf>
    <xf numFmtId="165" fontId="14" fillId="3" borderId="51" xfId="0" applyNumberFormat="1" applyFont="1" applyFill="1" applyBorder="1" applyAlignment="1">
      <alignment horizontal="right"/>
    </xf>
    <xf numFmtId="0" fontId="0" fillId="10" borderId="51" xfId="0" applyFill="1" applyBorder="1"/>
    <xf numFmtId="165" fontId="14" fillId="3" borderId="58" xfId="3" applyNumberFormat="1" applyFont="1" applyFill="1" applyBorder="1" applyAlignment="1">
      <alignment horizontal="right"/>
    </xf>
    <xf numFmtId="165" fontId="14" fillId="3" borderId="59" xfId="3" applyNumberFormat="1" applyFont="1" applyFill="1" applyBorder="1" applyAlignment="1">
      <alignment horizontal="right"/>
    </xf>
    <xf numFmtId="165" fontId="14" fillId="11" borderId="51" xfId="3" applyNumberFormat="1" applyFont="1" applyFill="1" applyBorder="1" applyAlignment="1">
      <alignment horizontal="right"/>
    </xf>
    <xf numFmtId="165" fontId="5" fillId="10" borderId="51" xfId="0" applyNumberFormat="1" applyFont="1" applyFill="1" applyBorder="1" applyAlignment="1"/>
    <xf numFmtId="165" fontId="14" fillId="3" borderId="52" xfId="0" applyNumberFormat="1" applyFont="1" applyFill="1" applyBorder="1" applyAlignment="1"/>
    <xf numFmtId="165" fontId="14" fillId="3" borderId="58" xfId="0" applyNumberFormat="1" applyFont="1" applyFill="1" applyBorder="1" applyAlignment="1">
      <alignment horizontal="center" vertical="center"/>
    </xf>
    <xf numFmtId="165" fontId="14" fillId="3" borderId="58" xfId="0" applyNumberFormat="1" applyFont="1" applyFill="1" applyBorder="1" applyAlignment="1">
      <alignment horizontal="left"/>
    </xf>
    <xf numFmtId="165" fontId="14" fillId="3" borderId="58" xfId="0" applyNumberFormat="1" applyFont="1" applyFill="1" applyBorder="1" applyAlignment="1">
      <alignment horizontal="left" vertical="center"/>
    </xf>
    <xf numFmtId="167" fontId="25" fillId="3" borderId="59" xfId="0" applyNumberFormat="1" applyFont="1" applyFill="1" applyBorder="1" applyAlignment="1">
      <alignment horizontal="left"/>
    </xf>
    <xf numFmtId="1" fontId="5" fillId="10" borderId="27" xfId="0" applyNumberFormat="1" applyFont="1" applyFill="1" applyBorder="1" applyAlignment="1">
      <alignment horizontal="center" vertical="top" wrapText="1"/>
    </xf>
    <xf numFmtId="165" fontId="5" fillId="10" borderId="29" xfId="0" applyNumberFormat="1" applyFont="1" applyFill="1" applyBorder="1" applyAlignment="1">
      <alignment horizontal="center" vertical="center" wrapText="1"/>
    </xf>
    <xf numFmtId="1" fontId="5" fillId="11" borderId="27" xfId="0" applyNumberFormat="1" applyFont="1" applyFill="1" applyBorder="1" applyAlignment="1">
      <alignment horizontal="center" vertical="center"/>
    </xf>
    <xf numFmtId="165" fontId="5" fillId="11" borderId="29" xfId="0" applyNumberFormat="1" applyFont="1" applyFill="1" applyBorder="1"/>
    <xf numFmtId="2" fontId="14" fillId="3" borderId="11" xfId="0" applyNumberFormat="1" applyFont="1" applyFill="1" applyBorder="1" applyAlignment="1">
      <alignment horizontal="center"/>
    </xf>
    <xf numFmtId="165" fontId="14" fillId="3" borderId="35" xfId="2" applyNumberFormat="1" applyFont="1" applyFill="1" applyBorder="1"/>
    <xf numFmtId="165" fontId="14" fillId="3" borderId="15" xfId="2" applyNumberFormat="1" applyFont="1" applyFill="1" applyBorder="1"/>
    <xf numFmtId="165" fontId="14" fillId="3" borderId="7" xfId="2" applyNumberFormat="1" applyFont="1" applyFill="1" applyBorder="1"/>
    <xf numFmtId="1" fontId="14" fillId="3" borderId="27" xfId="0" applyNumberFormat="1" applyFont="1" applyFill="1" applyBorder="1" applyAlignment="1">
      <alignment horizontal="center" vertical="center"/>
    </xf>
    <xf numFmtId="165" fontId="14" fillId="3" borderId="29" xfId="0" applyNumberFormat="1" applyFont="1" applyFill="1" applyBorder="1" applyAlignment="1">
      <alignment vertical="center"/>
    </xf>
    <xf numFmtId="1" fontId="14" fillId="11" borderId="27" xfId="0" applyNumberFormat="1" applyFont="1" applyFill="1" applyBorder="1" applyAlignment="1">
      <alignment horizontal="center" vertical="center"/>
    </xf>
    <xf numFmtId="1" fontId="0" fillId="10" borderId="27" xfId="0" applyNumberFormat="1" applyFill="1" applyBorder="1" applyAlignment="1">
      <alignment horizontal="center"/>
    </xf>
    <xf numFmtId="165" fontId="0" fillId="10" borderId="29" xfId="0" applyNumberFormat="1" applyFill="1" applyBorder="1"/>
    <xf numFmtId="165" fontId="14" fillId="3" borderId="35" xfId="0" applyNumberFormat="1" applyFont="1" applyFill="1" applyBorder="1" applyAlignment="1">
      <alignment horizontal="center" vertical="center"/>
    </xf>
    <xf numFmtId="165" fontId="14" fillId="3" borderId="7" xfId="0" applyNumberFormat="1" applyFont="1" applyFill="1" applyBorder="1" applyAlignment="1">
      <alignment horizontal="center" vertical="center"/>
    </xf>
    <xf numFmtId="1" fontId="14" fillId="3" borderId="2" xfId="0" applyNumberFormat="1" applyFont="1" applyFill="1" applyBorder="1" applyAlignment="1">
      <alignment horizontal="center"/>
    </xf>
    <xf numFmtId="165" fontId="14" fillId="3" borderId="4" xfId="0" applyNumberFormat="1" applyFont="1" applyFill="1" applyBorder="1"/>
    <xf numFmtId="165" fontId="5" fillId="10" borderId="29" xfId="0" applyNumberFormat="1" applyFont="1" applyFill="1" applyBorder="1" applyAlignment="1">
      <alignment vertical="center" wrapText="1"/>
    </xf>
    <xf numFmtId="165" fontId="14" fillId="3" borderId="35" xfId="0" applyNumberFormat="1" applyFont="1" applyFill="1" applyBorder="1" applyAlignment="1">
      <alignment horizontal="center"/>
    </xf>
    <xf numFmtId="165" fontId="14" fillId="3" borderId="7" xfId="0" applyNumberFormat="1" applyFont="1" applyFill="1" applyBorder="1" applyAlignment="1">
      <alignment horizontal="center"/>
    </xf>
    <xf numFmtId="1" fontId="14" fillId="3" borderId="36" xfId="3" applyNumberFormat="1" applyFont="1" applyFill="1" applyBorder="1" applyAlignment="1">
      <alignment horizontal="center"/>
    </xf>
    <xf numFmtId="165" fontId="14" fillId="3" borderId="35" xfId="3" applyNumberFormat="1" applyFont="1" applyFill="1" applyBorder="1" applyAlignment="1">
      <alignment horizontal="center"/>
    </xf>
    <xf numFmtId="165" fontId="14" fillId="3" borderId="29" xfId="0" applyNumberFormat="1" applyFont="1" applyFill="1" applyBorder="1" applyAlignment="1">
      <alignment horizontal="center"/>
    </xf>
    <xf numFmtId="165" fontId="14" fillId="3" borderId="9" xfId="0" applyNumberFormat="1" applyFont="1" applyFill="1" applyBorder="1"/>
    <xf numFmtId="0" fontId="0" fillId="10" borderId="27" xfId="0" applyFill="1" applyBorder="1"/>
    <xf numFmtId="165" fontId="14" fillId="3" borderId="35" xfId="3" applyNumberFormat="1" applyFont="1" applyFill="1" applyBorder="1"/>
    <xf numFmtId="165" fontId="14" fillId="3" borderId="15" xfId="3" applyNumberFormat="1" applyFont="1" applyFill="1" applyBorder="1"/>
    <xf numFmtId="165" fontId="14" fillId="3" borderId="7" xfId="3" applyNumberFormat="1" applyFont="1" applyFill="1" applyBorder="1"/>
    <xf numFmtId="1" fontId="14" fillId="11" borderId="27" xfId="3" applyNumberFormat="1" applyFont="1" applyFill="1" applyBorder="1" applyAlignment="1">
      <alignment horizontal="center"/>
    </xf>
    <xf numFmtId="165" fontId="14" fillId="11" borderId="29" xfId="3" applyNumberFormat="1" applyFont="1" applyFill="1" applyBorder="1"/>
    <xf numFmtId="0" fontId="14" fillId="3" borderId="11" xfId="0" applyNumberFormat="1" applyFont="1" applyFill="1" applyBorder="1" applyAlignment="1">
      <alignment horizontal="center"/>
    </xf>
    <xf numFmtId="169" fontId="14" fillId="3" borderId="11" xfId="0" applyNumberFormat="1" applyFont="1" applyFill="1" applyBorder="1" applyAlignment="1">
      <alignment horizontal="center"/>
    </xf>
    <xf numFmtId="167" fontId="5" fillId="3" borderId="7" xfId="0" applyNumberFormat="1" applyFont="1" applyFill="1" applyBorder="1"/>
    <xf numFmtId="0" fontId="14" fillId="3" borderId="34" xfId="0" applyFont="1" applyFill="1" applyBorder="1" applyAlignment="1">
      <alignment horizontal="right"/>
    </xf>
    <xf numFmtId="165" fontId="14" fillId="3" borderId="26" xfId="0" applyNumberFormat="1" applyFont="1" applyFill="1" applyBorder="1" applyAlignment="1">
      <alignment horizontal="right" vertical="center"/>
    </xf>
    <xf numFmtId="165" fontId="14" fillId="3" borderId="60" xfId="0" applyNumberFormat="1" applyFont="1" applyFill="1" applyBorder="1" applyAlignment="1"/>
    <xf numFmtId="0" fontId="14" fillId="10" borderId="34" xfId="2" applyFont="1" applyFill="1" applyBorder="1"/>
    <xf numFmtId="165" fontId="5" fillId="10" borderId="58" xfId="0" applyNumberFormat="1" applyFont="1" applyFill="1" applyBorder="1" applyAlignment="1">
      <alignment horizontal="right" vertical="center"/>
    </xf>
    <xf numFmtId="165" fontId="14" fillId="3" borderId="26" xfId="0" applyNumberFormat="1" applyFont="1" applyFill="1" applyBorder="1" applyAlignment="1">
      <alignment horizontal="right"/>
    </xf>
    <xf numFmtId="165" fontId="5" fillId="11" borderId="29" xfId="3" applyNumberFormat="1" applyFont="1" applyFill="1" applyBorder="1" applyAlignment="1">
      <alignment horizontal="right"/>
    </xf>
    <xf numFmtId="0" fontId="5" fillId="11" borderId="57" xfId="2" applyFont="1" applyFill="1" applyBorder="1"/>
    <xf numFmtId="1" fontId="5" fillId="11" borderId="27" xfId="3" applyNumberFormat="1" applyFont="1" applyFill="1" applyBorder="1" applyAlignment="1">
      <alignment horizontal="center"/>
    </xf>
    <xf numFmtId="165" fontId="5" fillId="11" borderId="29" xfId="3" applyNumberFormat="1" applyFont="1" applyFill="1" applyBorder="1"/>
    <xf numFmtId="165" fontId="5" fillId="11" borderId="51" xfId="3" applyNumberFormat="1" applyFont="1" applyFill="1" applyBorder="1" applyAlignment="1">
      <alignment horizontal="right"/>
    </xf>
    <xf numFmtId="165" fontId="5" fillId="11" borderId="29" xfId="0" applyNumberFormat="1" applyFont="1" applyFill="1" applyBorder="1" applyAlignment="1">
      <alignment horizontal="right"/>
    </xf>
    <xf numFmtId="1" fontId="5" fillId="11" borderId="27" xfId="0" applyNumberFormat="1" applyFont="1" applyFill="1" applyBorder="1" applyAlignment="1">
      <alignment horizontal="center"/>
    </xf>
    <xf numFmtId="0" fontId="14" fillId="3" borderId="33" xfId="0" applyFont="1" applyFill="1" applyBorder="1"/>
    <xf numFmtId="0" fontId="14" fillId="3" borderId="17" xfId="0" applyFont="1" applyFill="1" applyBorder="1" applyAlignment="1">
      <alignment horizontal="center"/>
    </xf>
    <xf numFmtId="167" fontId="5" fillId="11" borderId="63" xfId="0" applyNumberFormat="1" applyFont="1" applyFill="1" applyBorder="1" applyAlignment="1">
      <alignment vertical="center"/>
    </xf>
    <xf numFmtId="167" fontId="5" fillId="11" borderId="61" xfId="0" applyNumberFormat="1" applyFont="1" applyFill="1" applyBorder="1" applyAlignment="1">
      <alignment vertical="center"/>
    </xf>
    <xf numFmtId="165" fontId="5" fillId="11" borderId="14" xfId="0" applyNumberFormat="1" applyFont="1" applyFill="1" applyBorder="1" applyAlignment="1">
      <alignment horizontal="right" vertical="center"/>
    </xf>
    <xf numFmtId="0" fontId="14" fillId="11" borderId="47" xfId="2" applyFont="1" applyFill="1" applyBorder="1"/>
    <xf numFmtId="1" fontId="5" fillId="11" borderId="61" xfId="0" applyNumberFormat="1" applyFont="1" applyFill="1" applyBorder="1" applyAlignment="1">
      <alignment horizontal="center" vertical="center"/>
    </xf>
    <xf numFmtId="165" fontId="5" fillId="11" borderId="14" xfId="0" applyNumberFormat="1" applyFont="1" applyFill="1" applyBorder="1" applyAlignment="1">
      <alignment vertical="center"/>
    </xf>
    <xf numFmtId="165" fontId="5" fillId="11" borderId="64" xfId="0" applyNumberFormat="1" applyFont="1" applyFill="1" applyBorder="1" applyAlignment="1">
      <alignment horizontal="right" vertical="center"/>
    </xf>
    <xf numFmtId="0" fontId="5" fillId="11" borderId="28" xfId="0" applyFont="1" applyFill="1" applyBorder="1" applyAlignment="1">
      <alignment vertical="top" wrapText="1"/>
    </xf>
    <xf numFmtId="1" fontId="14" fillId="3" borderId="33" xfId="0" applyNumberFormat="1" applyFont="1" applyFill="1" applyBorder="1" applyAlignment="1">
      <alignment horizontal="center" vertical="center"/>
    </xf>
    <xf numFmtId="167" fontId="5" fillId="10" borderId="25" xfId="0" applyNumberFormat="1" applyFont="1" applyFill="1" applyBorder="1" applyAlignment="1">
      <alignment vertical="center"/>
    </xf>
    <xf numFmtId="167" fontId="5" fillId="10" borderId="11" xfId="0" applyNumberFormat="1" applyFont="1" applyFill="1" applyBorder="1" applyAlignment="1">
      <alignment vertical="center"/>
    </xf>
    <xf numFmtId="1" fontId="5" fillId="10" borderId="11" xfId="0" applyNumberFormat="1" applyFont="1" applyFill="1" applyBorder="1" applyAlignment="1">
      <alignment horizontal="center" vertical="center"/>
    </xf>
    <xf numFmtId="165" fontId="5" fillId="10" borderId="15" xfId="0" applyNumberFormat="1" applyFont="1" applyFill="1" applyBorder="1" applyAlignment="1">
      <alignment horizontal="center" vertical="center"/>
    </xf>
    <xf numFmtId="0" fontId="14" fillId="3" borderId="36" xfId="0" applyNumberFormat="1" applyFont="1" applyFill="1" applyBorder="1" applyAlignment="1">
      <alignment horizontal="center"/>
    </xf>
    <xf numFmtId="1" fontId="5" fillId="10" borderId="27" xfId="0" applyNumberFormat="1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vertical="top" wrapText="1"/>
    </xf>
    <xf numFmtId="0" fontId="5" fillId="8" borderId="12" xfId="0" applyFont="1" applyFill="1" applyBorder="1" applyAlignment="1">
      <alignment vertical="center" wrapText="1"/>
    </xf>
    <xf numFmtId="165" fontId="14" fillId="8" borderId="50" xfId="0" applyNumberFormat="1" applyFont="1" applyFill="1" applyBorder="1" applyAlignment="1">
      <alignment horizontal="right" vertical="top" wrapText="1"/>
    </xf>
    <xf numFmtId="1" fontId="5" fillId="8" borderId="12" xfId="0" applyNumberFormat="1" applyFont="1" applyFill="1" applyBorder="1" applyAlignment="1">
      <alignment horizontal="center" vertical="top" wrapText="1"/>
    </xf>
    <xf numFmtId="0" fontId="5" fillId="8" borderId="57" xfId="0" applyFont="1" applyFill="1" applyBorder="1" applyAlignment="1">
      <alignment horizontal="center" vertical="top" wrapText="1"/>
    </xf>
    <xf numFmtId="165" fontId="7" fillId="8" borderId="51" xfId="0" applyNumberFormat="1" applyFont="1" applyFill="1" applyBorder="1" applyAlignment="1">
      <alignment vertical="center"/>
    </xf>
    <xf numFmtId="0" fontId="5" fillId="7" borderId="12" xfId="0" applyFont="1" applyFill="1" applyBorder="1" applyAlignment="1">
      <alignment vertical="center" wrapText="1"/>
    </xf>
    <xf numFmtId="165" fontId="14" fillId="7" borderId="50" xfId="0" applyNumberFormat="1" applyFont="1" applyFill="1" applyBorder="1" applyAlignment="1">
      <alignment horizontal="right" vertical="top" wrapText="1"/>
    </xf>
    <xf numFmtId="1" fontId="5" fillId="7" borderId="12" xfId="0" applyNumberFormat="1" applyFont="1" applyFill="1" applyBorder="1" applyAlignment="1">
      <alignment horizontal="center" vertical="top" wrapText="1"/>
    </xf>
    <xf numFmtId="165" fontId="5" fillId="7" borderId="12" xfId="0" applyNumberFormat="1" applyFont="1" applyFill="1" applyBorder="1" applyAlignment="1">
      <alignment horizontal="right" vertical="center" wrapText="1"/>
    </xf>
    <xf numFmtId="0" fontId="14" fillId="7" borderId="57" xfId="0" applyFont="1" applyFill="1" applyBorder="1"/>
    <xf numFmtId="1" fontId="14" fillId="7" borderId="12" xfId="0" applyNumberFormat="1" applyFont="1" applyFill="1" applyBorder="1" applyAlignment="1">
      <alignment horizontal="center"/>
    </xf>
    <xf numFmtId="165" fontId="5" fillId="7" borderId="12" xfId="0" applyNumberFormat="1" applyFont="1" applyFill="1" applyBorder="1" applyAlignment="1">
      <alignment vertical="center" wrapText="1"/>
    </xf>
    <xf numFmtId="165" fontId="5" fillId="7" borderId="51" xfId="0" applyNumberFormat="1" applyFont="1" applyFill="1" applyBorder="1" applyAlignment="1">
      <alignment vertical="center"/>
    </xf>
    <xf numFmtId="165" fontId="7" fillId="8" borderId="12" xfId="0" applyNumberFormat="1" applyFont="1" applyFill="1" applyBorder="1" applyAlignment="1">
      <alignment horizontal="right" vertical="center" wrapText="1"/>
    </xf>
    <xf numFmtId="0" fontId="5" fillId="8" borderId="57" xfId="0" applyFont="1" applyFill="1" applyBorder="1" applyAlignment="1">
      <alignment horizontal="center" vertical="center" wrapText="1"/>
    </xf>
    <xf numFmtId="1" fontId="5" fillId="8" borderId="12" xfId="0" applyNumberFormat="1" applyFont="1" applyFill="1" applyBorder="1" applyAlignment="1">
      <alignment horizontal="center" vertical="center" wrapText="1"/>
    </xf>
    <xf numFmtId="165" fontId="7" fillId="8" borderId="12" xfId="0" applyNumberFormat="1" applyFont="1" applyFill="1" applyBorder="1" applyAlignment="1">
      <alignment horizontal="center" vertical="center" wrapText="1"/>
    </xf>
    <xf numFmtId="165" fontId="5" fillId="6" borderId="51" xfId="0" applyNumberFormat="1" applyFont="1" applyFill="1" applyBorder="1" applyAlignment="1">
      <alignment horizontal="center" vertical="center" wrapText="1"/>
    </xf>
    <xf numFmtId="1" fontId="5" fillId="6" borderId="12" xfId="0" applyNumberFormat="1" applyFont="1" applyFill="1" applyBorder="1" applyAlignment="1">
      <alignment horizontal="center" vertical="top" wrapText="1"/>
    </xf>
    <xf numFmtId="165" fontId="5" fillId="6" borderId="12" xfId="0" applyNumberFormat="1" applyFont="1" applyFill="1" applyBorder="1" applyAlignment="1">
      <alignment horizontal="center" vertical="top" wrapText="1"/>
    </xf>
    <xf numFmtId="165" fontId="5" fillId="6" borderId="51" xfId="0" applyNumberFormat="1" applyFont="1" applyFill="1" applyBorder="1" applyAlignment="1">
      <alignment horizontal="center" vertical="top" wrapText="1"/>
    </xf>
    <xf numFmtId="165" fontId="4" fillId="0" borderId="39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wrapText="1"/>
    </xf>
    <xf numFmtId="0" fontId="3" fillId="3" borderId="1" xfId="0" applyFont="1" applyFill="1" applyBorder="1"/>
    <xf numFmtId="44" fontId="4" fillId="3" borderId="1" xfId="0" applyNumberFormat="1" applyFont="1" applyFill="1" applyBorder="1" applyAlignment="1"/>
    <xf numFmtId="0" fontId="0" fillId="3" borderId="4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4" fillId="11" borderId="28" xfId="0" applyFont="1" applyFill="1" applyBorder="1" applyAlignment="1">
      <alignment vertical="top" wrapText="1"/>
    </xf>
    <xf numFmtId="0" fontId="14" fillId="11" borderId="28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7" fontId="11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justify" vertical="top"/>
    </xf>
    <xf numFmtId="0" fontId="10" fillId="0" borderId="17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4" fillId="11" borderId="62" xfId="0" applyFont="1" applyFill="1" applyBorder="1" applyAlignment="1">
      <alignment vertical="top" wrapText="1"/>
    </xf>
    <xf numFmtId="4" fontId="10" fillId="0" borderId="3" xfId="0" applyNumberFormat="1" applyFont="1" applyFill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left" vertical="top" wrapText="1"/>
    </xf>
    <xf numFmtId="165" fontId="14" fillId="12" borderId="63" xfId="0" applyNumberFormat="1" applyFont="1" applyFill="1" applyBorder="1" applyAlignment="1">
      <alignment horizontal="left"/>
    </xf>
    <xf numFmtId="1" fontId="14" fillId="12" borderId="61" xfId="0" applyNumberFormat="1" applyFont="1" applyFill="1" applyBorder="1" applyAlignment="1">
      <alignment horizontal="center"/>
    </xf>
    <xf numFmtId="165" fontId="14" fillId="12" borderId="14" xfId="0" applyNumberFormat="1" applyFont="1" applyFill="1" applyBorder="1" applyAlignment="1">
      <alignment horizontal="right"/>
    </xf>
    <xf numFmtId="0" fontId="14" fillId="12" borderId="47" xfId="2" applyFont="1" applyFill="1" applyBorder="1"/>
    <xf numFmtId="165" fontId="14" fillId="12" borderId="14" xfId="0" applyNumberFormat="1" applyFont="1" applyFill="1" applyBorder="1"/>
    <xf numFmtId="165" fontId="14" fillId="12" borderId="59" xfId="0" applyNumberFormat="1" applyFont="1" applyFill="1" applyBorder="1" applyAlignment="1"/>
    <xf numFmtId="0" fontId="5" fillId="7" borderId="66" xfId="0" applyFont="1" applyFill="1" applyBorder="1" applyAlignment="1">
      <alignment vertical="center" wrapText="1"/>
    </xf>
    <xf numFmtId="165" fontId="14" fillId="7" borderId="70" xfId="0" applyNumberFormat="1" applyFont="1" applyFill="1" applyBorder="1" applyAlignment="1">
      <alignment horizontal="right" vertical="top" wrapText="1"/>
    </xf>
    <xf numFmtId="1" fontId="5" fillId="7" borderId="66" xfId="0" applyNumberFormat="1" applyFont="1" applyFill="1" applyBorder="1" applyAlignment="1">
      <alignment horizontal="center" vertical="top" wrapText="1"/>
    </xf>
    <xf numFmtId="165" fontId="5" fillId="7" borderId="66" xfId="0" applyNumberFormat="1" applyFont="1" applyFill="1" applyBorder="1" applyAlignment="1">
      <alignment horizontal="right" vertical="center" wrapText="1"/>
    </xf>
    <xf numFmtId="0" fontId="14" fillId="7" borderId="47" xfId="0" applyFont="1" applyFill="1" applyBorder="1"/>
    <xf numFmtId="1" fontId="14" fillId="7" borderId="66" xfId="0" applyNumberFormat="1" applyFont="1" applyFill="1" applyBorder="1" applyAlignment="1">
      <alignment horizontal="center"/>
    </xf>
    <xf numFmtId="165" fontId="5" fillId="7" borderId="66" xfId="0" applyNumberFormat="1" applyFont="1" applyFill="1" applyBorder="1" applyAlignment="1">
      <alignment vertical="center" wrapText="1"/>
    </xf>
    <xf numFmtId="165" fontId="5" fillId="7" borderId="64" xfId="0" applyNumberFormat="1" applyFont="1" applyFill="1" applyBorder="1" applyAlignment="1">
      <alignment vertical="center"/>
    </xf>
    <xf numFmtId="165" fontId="14" fillId="3" borderId="1" xfId="0" applyNumberFormat="1" applyFont="1" applyFill="1" applyBorder="1" applyAlignment="1">
      <alignment horizontal="center"/>
    </xf>
    <xf numFmtId="1" fontId="14" fillId="3" borderId="1" xfId="0" applyNumberFormat="1" applyFont="1" applyFill="1" applyBorder="1" applyAlignment="1">
      <alignment horizontal="center"/>
    </xf>
    <xf numFmtId="165" fontId="14" fillId="3" borderId="1" xfId="0" applyNumberFormat="1" applyFont="1" applyFill="1" applyBorder="1" applyAlignment="1">
      <alignment horizontal="right"/>
    </xf>
    <xf numFmtId="0" fontId="14" fillId="3" borderId="1" xfId="2" applyFont="1" applyFill="1" applyBorder="1"/>
    <xf numFmtId="0" fontId="14" fillId="3" borderId="1" xfId="0" applyNumberFormat="1" applyFont="1" applyFill="1" applyBorder="1" applyAlignment="1">
      <alignment horizontal="center"/>
    </xf>
    <xf numFmtId="165" fontId="14" fillId="3" borderId="1" xfId="0" applyNumberFormat="1" applyFont="1" applyFill="1" applyBorder="1"/>
    <xf numFmtId="1" fontId="14" fillId="10" borderId="1" xfId="0" applyNumberFormat="1" applyFont="1" applyFill="1" applyBorder="1" applyAlignment="1">
      <alignment horizontal="center"/>
    </xf>
    <xf numFmtId="165" fontId="14" fillId="10" borderId="1" xfId="0" applyNumberFormat="1" applyFont="1" applyFill="1" applyBorder="1" applyAlignment="1">
      <alignment horizontal="right"/>
    </xf>
    <xf numFmtId="0" fontId="14" fillId="10" borderId="1" xfId="2" applyFont="1" applyFill="1" applyBorder="1"/>
    <xf numFmtId="0" fontId="14" fillId="10" borderId="1" xfId="0" applyNumberFormat="1" applyFont="1" applyFill="1" applyBorder="1" applyAlignment="1">
      <alignment horizontal="center"/>
    </xf>
    <xf numFmtId="165" fontId="14" fillId="10" borderId="1" xfId="0" applyNumberFormat="1" applyFont="1" applyFill="1" applyBorder="1"/>
    <xf numFmtId="165" fontId="14" fillId="0" borderId="1" xfId="0" applyNumberFormat="1" applyFont="1" applyFill="1" applyBorder="1" applyAlignment="1">
      <alignment horizontal="center"/>
    </xf>
    <xf numFmtId="1" fontId="14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 applyAlignment="1">
      <alignment horizontal="right"/>
    </xf>
    <xf numFmtId="0" fontId="14" fillId="0" borderId="1" xfId="2" applyFont="1" applyFill="1" applyBorder="1"/>
    <xf numFmtId="0" fontId="14" fillId="0" borderId="1" xfId="0" applyNumberFormat="1" applyFont="1" applyFill="1" applyBorder="1" applyAlignment="1">
      <alignment horizontal="center"/>
    </xf>
    <xf numFmtId="165" fontId="14" fillId="0" borderId="1" xfId="0" applyNumberFormat="1" applyFont="1" applyFill="1" applyBorder="1"/>
    <xf numFmtId="1" fontId="14" fillId="13" borderId="0" xfId="0" applyNumberFormat="1" applyFont="1" applyFill="1" applyBorder="1" applyAlignment="1">
      <alignment horizontal="center"/>
    </xf>
    <xf numFmtId="165" fontId="14" fillId="13" borderId="0" xfId="0" applyNumberFormat="1" applyFont="1" applyFill="1" applyBorder="1" applyAlignment="1">
      <alignment horizontal="right"/>
    </xf>
    <xf numFmtId="0" fontId="14" fillId="13" borderId="0" xfId="2" applyFont="1" applyFill="1" applyBorder="1"/>
    <xf numFmtId="0" fontId="14" fillId="13" borderId="0" xfId="0" applyNumberFormat="1" applyFont="1" applyFill="1" applyBorder="1" applyAlignment="1">
      <alignment horizontal="center"/>
    </xf>
    <xf numFmtId="165" fontId="14" fillId="13" borderId="0" xfId="0" applyNumberFormat="1" applyFont="1" applyFill="1" applyBorder="1"/>
    <xf numFmtId="1" fontId="14" fillId="3" borderId="43" xfId="0" applyNumberFormat="1" applyFont="1" applyFill="1" applyBorder="1" applyAlignment="1">
      <alignment horizontal="center"/>
    </xf>
    <xf numFmtId="165" fontId="14" fillId="3" borderId="56" xfId="0" applyNumberFormat="1" applyFont="1" applyFill="1" applyBorder="1" applyAlignment="1">
      <alignment horizontal="center"/>
    </xf>
    <xf numFmtId="0" fontId="14" fillId="3" borderId="11" xfId="0" applyFont="1" applyFill="1" applyBorder="1" applyAlignment="1"/>
    <xf numFmtId="0" fontId="14" fillId="3" borderId="1" xfId="0" applyFont="1" applyFill="1" applyBorder="1" applyAlignment="1"/>
    <xf numFmtId="0" fontId="14" fillId="3" borderId="1" xfId="0" applyFont="1" applyFill="1" applyBorder="1"/>
    <xf numFmtId="1" fontId="14" fillId="11" borderId="61" xfId="0" applyNumberFormat="1" applyFont="1" applyFill="1" applyBorder="1" applyAlignment="1">
      <alignment horizontal="center"/>
    </xf>
    <xf numFmtId="165" fontId="5" fillId="11" borderId="14" xfId="0" applyNumberFormat="1" applyFont="1" applyFill="1" applyBorder="1"/>
    <xf numFmtId="0" fontId="5" fillId="11" borderId="62" xfId="0" applyFont="1" applyFill="1" applyBorder="1" applyAlignment="1">
      <alignment vertical="top" wrapText="1"/>
    </xf>
    <xf numFmtId="165" fontId="14" fillId="3" borderId="1" xfId="0" applyNumberFormat="1" applyFont="1" applyFill="1" applyBorder="1" applyAlignment="1"/>
    <xf numFmtId="165" fontId="14" fillId="13" borderId="56" xfId="0" applyNumberFormat="1" applyFont="1" applyFill="1" applyBorder="1" applyAlignment="1">
      <alignment horizontal="right"/>
    </xf>
    <xf numFmtId="1" fontId="14" fillId="13" borderId="33" xfId="0" applyNumberFormat="1" applyFont="1" applyFill="1" applyBorder="1" applyAlignment="1">
      <alignment horizontal="center"/>
    </xf>
    <xf numFmtId="165" fontId="14" fillId="13" borderId="39" xfId="0" applyNumberFormat="1" applyFont="1" applyFill="1" applyBorder="1" applyAlignment="1">
      <alignment horizontal="right"/>
    </xf>
    <xf numFmtId="1" fontId="14" fillId="13" borderId="43" xfId="0" applyNumberFormat="1" applyFont="1" applyFill="1" applyBorder="1" applyAlignment="1">
      <alignment horizontal="center"/>
    </xf>
    <xf numFmtId="165" fontId="14" fillId="13" borderId="71" xfId="0" applyNumberFormat="1" applyFont="1" applyFill="1" applyBorder="1" applyAlignment="1"/>
    <xf numFmtId="0" fontId="14" fillId="3" borderId="8" xfId="0" applyFont="1" applyFill="1" applyBorder="1"/>
    <xf numFmtId="0" fontId="14" fillId="3" borderId="0" xfId="0" applyFont="1" applyFill="1" applyBorder="1" applyAlignment="1">
      <alignment horizontal="center"/>
    </xf>
    <xf numFmtId="165" fontId="14" fillId="3" borderId="0" xfId="0" applyNumberFormat="1" applyFont="1" applyFill="1" applyBorder="1" applyAlignment="1">
      <alignment horizontal="right"/>
    </xf>
    <xf numFmtId="0" fontId="14" fillId="3" borderId="8" xfId="0" applyFont="1" applyFill="1" applyBorder="1" applyAlignment="1">
      <alignment horizontal="center"/>
    </xf>
    <xf numFmtId="0" fontId="14" fillId="3" borderId="71" xfId="0" applyFont="1" applyFill="1" applyBorder="1"/>
    <xf numFmtId="0" fontId="14" fillId="3" borderId="8" xfId="0" applyNumberFormat="1" applyFont="1" applyFill="1" applyBorder="1" applyAlignment="1">
      <alignment horizontal="center" vertical="center"/>
    </xf>
    <xf numFmtId="165" fontId="14" fillId="3" borderId="71" xfId="0" applyNumberFormat="1" applyFont="1" applyFill="1" applyBorder="1" applyAlignment="1">
      <alignment vertical="center"/>
    </xf>
    <xf numFmtId="49" fontId="14" fillId="3" borderId="17" xfId="0" applyNumberFormat="1" applyFont="1" applyFill="1" applyBorder="1" applyAlignment="1">
      <alignment horizontal="center"/>
    </xf>
    <xf numFmtId="165" fontId="14" fillId="3" borderId="39" xfId="0" applyNumberFormat="1" applyFont="1" applyFill="1" applyBorder="1" applyAlignment="1"/>
    <xf numFmtId="165" fontId="14" fillId="3" borderId="1" xfId="0" applyNumberFormat="1" applyFont="1" applyFill="1" applyBorder="1" applyAlignment="1">
      <alignment horizontal="left"/>
    </xf>
    <xf numFmtId="0" fontId="14" fillId="3" borderId="24" xfId="0" applyFont="1" applyFill="1" applyBorder="1"/>
    <xf numFmtId="0" fontId="14" fillId="11" borderId="18" xfId="0" applyFont="1" applyFill="1" applyBorder="1" applyAlignment="1">
      <alignment vertical="top" wrapText="1"/>
    </xf>
    <xf numFmtId="1" fontId="14" fillId="11" borderId="19" xfId="0" applyNumberFormat="1" applyFont="1" applyFill="1" applyBorder="1" applyAlignment="1">
      <alignment horizontal="center"/>
    </xf>
    <xf numFmtId="165" fontId="5" fillId="11" borderId="38" xfId="0" applyNumberFormat="1" applyFont="1" applyFill="1" applyBorder="1"/>
    <xf numFmtId="0" fontId="5" fillId="11" borderId="18" xfId="0" applyFont="1" applyFill="1" applyBorder="1" applyAlignment="1">
      <alignment vertical="top" wrapText="1"/>
    </xf>
    <xf numFmtId="0" fontId="14" fillId="3" borderId="1" xfId="0" applyFont="1" applyFill="1" applyBorder="1" applyAlignment="1">
      <alignment horizontal="left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7" fontId="14" fillId="3" borderId="1" xfId="0" applyNumberFormat="1" applyFont="1" applyFill="1" applyBorder="1" applyAlignment="1">
      <alignment horizontal="right" vertical="center"/>
    </xf>
    <xf numFmtId="0" fontId="14" fillId="3" borderId="1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1" fontId="14" fillId="3" borderId="1" xfId="0" applyNumberFormat="1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left" vertical="center"/>
    </xf>
    <xf numFmtId="0" fontId="14" fillId="0" borderId="36" xfId="0" applyFont="1" applyFill="1" applyBorder="1"/>
    <xf numFmtId="49" fontId="14" fillId="0" borderId="16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166" fontId="14" fillId="0" borderId="54" xfId="1" applyFont="1" applyFill="1" applyBorder="1" applyAlignment="1">
      <alignment horizontal="center"/>
    </xf>
    <xf numFmtId="0" fontId="14" fillId="0" borderId="11" xfId="0" applyFont="1" applyFill="1" applyBorder="1"/>
    <xf numFmtId="49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65" fontId="14" fillId="0" borderId="25" xfId="0" applyNumberFormat="1" applyFont="1" applyFill="1" applyBorder="1" applyAlignment="1">
      <alignment horizontal="center"/>
    </xf>
    <xf numFmtId="165" fontId="14" fillId="0" borderId="25" xfId="0" applyNumberFormat="1" applyFont="1" applyFill="1" applyBorder="1" applyAlignment="1">
      <alignment horizontal="right"/>
    </xf>
    <xf numFmtId="166" fontId="14" fillId="0" borderId="25" xfId="0" applyNumberFormat="1" applyFont="1" applyFill="1" applyBorder="1"/>
    <xf numFmtId="0" fontId="14" fillId="0" borderId="1" xfId="0" applyFont="1" applyFill="1" applyBorder="1"/>
    <xf numFmtId="165" fontId="14" fillId="5" borderId="0" xfId="0" applyNumberFormat="1" applyFont="1" applyFill="1" applyBorder="1" applyAlignment="1">
      <alignment horizontal="center"/>
    </xf>
    <xf numFmtId="165" fontId="14" fillId="5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9" fontId="18" fillId="0" borderId="1" xfId="0" applyNumberFormat="1" applyFont="1" applyBorder="1" applyAlignment="1">
      <alignment horizontal="left" vertical="center" wrapText="1"/>
    </xf>
    <xf numFmtId="165" fontId="14" fillId="3" borderId="60" xfId="0" applyNumberFormat="1" applyFont="1" applyFill="1" applyBorder="1" applyAlignment="1">
      <alignment horizontal="left"/>
    </xf>
    <xf numFmtId="165" fontId="14" fillId="11" borderId="1" xfId="0" applyNumberFormat="1" applyFont="1" applyFill="1" applyBorder="1" applyAlignment="1">
      <alignment horizontal="center"/>
    </xf>
    <xf numFmtId="1" fontId="14" fillId="11" borderId="1" xfId="0" applyNumberFormat="1" applyFont="1" applyFill="1" applyBorder="1" applyAlignment="1">
      <alignment horizontal="center" vertical="center"/>
    </xf>
    <xf numFmtId="165" fontId="14" fillId="11" borderId="1" xfId="0" applyNumberFormat="1" applyFont="1" applyFill="1" applyBorder="1" applyAlignment="1"/>
    <xf numFmtId="0" fontId="14" fillId="11" borderId="1" xfId="2" applyFont="1" applyFill="1" applyBorder="1"/>
    <xf numFmtId="1" fontId="14" fillId="11" borderId="1" xfId="0" applyNumberFormat="1" applyFont="1" applyFill="1" applyBorder="1" applyAlignment="1">
      <alignment horizontal="center"/>
    </xf>
    <xf numFmtId="165" fontId="5" fillId="11" borderId="1" xfId="0" applyNumberFormat="1" applyFont="1" applyFill="1" applyBorder="1"/>
    <xf numFmtId="165" fontId="5" fillId="11" borderId="1" xfId="0" applyNumberFormat="1" applyFont="1" applyFill="1" applyBorder="1" applyAlignment="1">
      <alignment horizontal="left"/>
    </xf>
    <xf numFmtId="0" fontId="10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left" vertical="top" wrapText="1"/>
    </xf>
    <xf numFmtId="0" fontId="20" fillId="0" borderId="18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top"/>
    </xf>
    <xf numFmtId="0" fontId="4" fillId="0" borderId="35" xfId="0" applyFont="1" applyFill="1" applyBorder="1" applyAlignment="1">
      <alignment horizontal="center" vertical="top"/>
    </xf>
    <xf numFmtId="49" fontId="4" fillId="0" borderId="1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20" fillId="0" borderId="16" xfId="0" applyNumberFormat="1" applyFont="1" applyFill="1" applyBorder="1" applyAlignment="1">
      <alignment horizontal="center" vertical="top" wrapText="1"/>
    </xf>
    <xf numFmtId="49" fontId="20" fillId="0" borderId="6" xfId="0" applyNumberFormat="1" applyFont="1" applyFill="1" applyBorder="1" applyAlignment="1">
      <alignment horizontal="center" vertical="top" wrapText="1"/>
    </xf>
    <xf numFmtId="0" fontId="9" fillId="0" borderId="11" xfId="0" applyFont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top"/>
    </xf>
    <xf numFmtId="0" fontId="20" fillId="0" borderId="35" xfId="0" applyFont="1" applyFill="1" applyBorder="1" applyAlignment="1">
      <alignment horizontal="center" vertical="top"/>
    </xf>
    <xf numFmtId="0" fontId="9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5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0" fontId="4" fillId="0" borderId="36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top" wrapText="1"/>
    </xf>
    <xf numFmtId="0" fontId="26" fillId="0" borderId="0" xfId="0" applyFont="1" applyBorder="1" applyAlignment="1">
      <alignment horizontal="left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8" fillId="0" borderId="1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20" fillId="0" borderId="36" xfId="0" applyFont="1" applyFill="1" applyBorder="1" applyAlignment="1">
      <alignment horizontal="left" vertical="top" wrapText="1"/>
    </xf>
    <xf numFmtId="0" fontId="20" fillId="0" borderId="1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15" fillId="0" borderId="16" xfId="0" applyNumberFormat="1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 wrapText="1"/>
    </xf>
    <xf numFmtId="44" fontId="4" fillId="0" borderId="4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49" fontId="4" fillId="0" borderId="36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left" vertical="top" wrapText="1"/>
    </xf>
    <xf numFmtId="165" fontId="4" fillId="0" borderId="38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49" fontId="4" fillId="0" borderId="36" xfId="0" applyNumberFormat="1" applyFont="1" applyFill="1" applyBorder="1" applyAlignment="1">
      <alignment horizontal="center" vertical="top" wrapText="1"/>
    </xf>
    <xf numFmtId="49" fontId="4" fillId="0" borderId="35" xfId="0" applyNumberFormat="1" applyFont="1" applyFill="1" applyBorder="1" applyAlignment="1">
      <alignment horizontal="center" vertical="top" wrapText="1"/>
    </xf>
    <xf numFmtId="0" fontId="4" fillId="0" borderId="36" xfId="0" applyFont="1" applyFill="1" applyBorder="1" applyAlignment="1">
      <alignment horizontal="center" vertical="top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 vertical="top"/>
    </xf>
    <xf numFmtId="0" fontId="11" fillId="0" borderId="35" xfId="0" applyFont="1" applyFill="1" applyBorder="1" applyAlignment="1">
      <alignment horizontal="center" vertical="top"/>
    </xf>
    <xf numFmtId="49" fontId="11" fillId="0" borderId="36" xfId="0" applyNumberFormat="1" applyFont="1" applyFill="1" applyBorder="1" applyAlignment="1">
      <alignment horizontal="center" vertical="top" wrapText="1"/>
    </xf>
    <xf numFmtId="49" fontId="11" fillId="0" borderId="16" xfId="0" applyNumberFormat="1" applyFont="1" applyFill="1" applyBorder="1" applyAlignment="1">
      <alignment horizontal="center" vertical="top" wrapText="1"/>
    </xf>
    <xf numFmtId="49" fontId="11" fillId="0" borderId="35" xfId="0" applyNumberFormat="1" applyFont="1" applyFill="1" applyBorder="1" applyAlignment="1">
      <alignment horizontal="center" vertical="top" wrapText="1"/>
    </xf>
    <xf numFmtId="49" fontId="11" fillId="0" borderId="40" xfId="0" applyNumberFormat="1" applyFont="1" applyFill="1" applyBorder="1" applyAlignment="1">
      <alignment horizontal="center" vertical="center" wrapText="1"/>
    </xf>
    <xf numFmtId="49" fontId="11" fillId="0" borderId="44" xfId="0" applyNumberFormat="1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167" fontId="11" fillId="0" borderId="39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4" fillId="0" borderId="44" xfId="0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165" fontId="4" fillId="0" borderId="3" xfId="0" applyNumberFormat="1" applyFont="1" applyFill="1" applyBorder="1" applyAlignment="1">
      <alignment horizontal="center" vertical="center"/>
    </xf>
    <xf numFmtId="165" fontId="4" fillId="0" borderId="1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67" fontId="9" fillId="0" borderId="38" xfId="0" applyNumberFormat="1" applyFont="1" applyBorder="1" applyAlignment="1">
      <alignment horizontal="center" vertical="center" wrapText="1"/>
    </xf>
    <xf numFmtId="167" fontId="9" fillId="0" borderId="39" xfId="0" applyNumberFormat="1" applyFont="1" applyBorder="1" applyAlignment="1">
      <alignment horizontal="center" vertical="center" wrapText="1"/>
    </xf>
    <xf numFmtId="167" fontId="9" fillId="0" borderId="9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9" fillId="0" borderId="4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11" borderId="27" xfId="0" applyFont="1" applyFill="1" applyBorder="1" applyAlignment="1">
      <alignment vertical="top" wrapText="1"/>
    </xf>
    <xf numFmtId="0" fontId="14" fillId="11" borderId="28" xfId="0" applyFont="1" applyFill="1" applyBorder="1" applyAlignment="1">
      <alignment vertical="top" wrapText="1"/>
    </xf>
    <xf numFmtId="0" fontId="14" fillId="11" borderId="27" xfId="0" applyFont="1" applyFill="1" applyBorder="1" applyAlignment="1">
      <alignment horizontal="left" vertical="top" wrapText="1"/>
    </xf>
    <xf numFmtId="0" fontId="14" fillId="11" borderId="28" xfId="0" applyFont="1" applyFill="1" applyBorder="1" applyAlignment="1">
      <alignment horizontal="left" vertical="top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66" xfId="0" applyFont="1" applyFill="1" applyBorder="1" applyAlignment="1">
      <alignment horizontal="center" vertical="center" wrapText="1"/>
    </xf>
    <xf numFmtId="0" fontId="14" fillId="11" borderId="50" xfId="0" applyFont="1" applyFill="1" applyBorder="1" applyAlignment="1">
      <alignment vertical="top" wrapText="1"/>
    </xf>
    <xf numFmtId="0" fontId="14" fillId="11" borderId="57" xfId="0" applyFont="1" applyFill="1" applyBorder="1" applyAlignment="1">
      <alignment vertical="top" wrapText="1"/>
    </xf>
    <xf numFmtId="0" fontId="14" fillId="11" borderId="69" xfId="0" applyFont="1" applyFill="1" applyBorder="1" applyAlignment="1">
      <alignment vertical="top" wrapText="1"/>
    </xf>
    <xf numFmtId="0" fontId="14" fillId="11" borderId="27" xfId="0" applyFont="1" applyFill="1" applyBorder="1" applyAlignment="1">
      <alignment horizontal="left" wrapText="1"/>
    </xf>
    <xf numFmtId="0" fontId="14" fillId="11" borderId="28" xfId="0" applyFont="1" applyFill="1" applyBorder="1" applyAlignment="1">
      <alignment horizontal="left" wrapText="1"/>
    </xf>
    <xf numFmtId="0" fontId="16" fillId="9" borderId="27" xfId="0" applyFont="1" applyFill="1" applyBorder="1" applyAlignment="1">
      <alignment horizontal="center"/>
    </xf>
    <xf numFmtId="0" fontId="16" fillId="9" borderId="28" xfId="0" applyFont="1" applyFill="1" applyBorder="1" applyAlignment="1">
      <alignment horizontal="center"/>
    </xf>
    <xf numFmtId="0" fontId="16" fillId="9" borderId="29" xfId="0" applyFont="1" applyFill="1" applyBorder="1" applyAlignment="1">
      <alignment horizontal="center"/>
    </xf>
    <xf numFmtId="0" fontId="7" fillId="9" borderId="27" xfId="0" applyFont="1" applyFill="1" applyBorder="1" applyAlignment="1">
      <alignment horizontal="center"/>
    </xf>
    <xf numFmtId="0" fontId="7" fillId="9" borderId="28" xfId="0" applyFont="1" applyFill="1" applyBorder="1" applyAlignment="1">
      <alignment horizontal="center"/>
    </xf>
    <xf numFmtId="0" fontId="7" fillId="9" borderId="29" xfId="0" applyFont="1" applyFill="1" applyBorder="1" applyAlignment="1">
      <alignment horizontal="center"/>
    </xf>
    <xf numFmtId="165" fontId="5" fillId="6" borderId="65" xfId="0" applyNumberFormat="1" applyFont="1" applyFill="1" applyBorder="1" applyAlignment="1">
      <alignment horizontal="center" vertical="center" wrapText="1"/>
    </xf>
    <xf numFmtId="165" fontId="5" fillId="6" borderId="66" xfId="0" applyNumberFormat="1" applyFont="1" applyFill="1" applyBorder="1" applyAlignment="1">
      <alignment horizontal="center" vertical="center" wrapText="1"/>
    </xf>
    <xf numFmtId="0" fontId="5" fillId="6" borderId="27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14" fillId="11" borderId="27" xfId="0" applyFont="1" applyFill="1" applyBorder="1" applyAlignment="1">
      <alignment horizontal="left" vertical="center" wrapText="1"/>
    </xf>
    <xf numFmtId="0" fontId="14" fillId="11" borderId="28" xfId="0" applyFont="1" applyFill="1" applyBorder="1" applyAlignment="1">
      <alignment horizontal="left" vertical="center" wrapText="1"/>
    </xf>
    <xf numFmtId="0" fontId="5" fillId="10" borderId="27" xfId="0" applyFont="1" applyFill="1" applyBorder="1" applyAlignment="1">
      <alignment horizontal="left" wrapText="1"/>
    </xf>
    <xf numFmtId="0" fontId="5" fillId="10" borderId="28" xfId="0" applyFont="1" applyFill="1" applyBorder="1" applyAlignment="1">
      <alignment horizontal="left" wrapText="1"/>
    </xf>
    <xf numFmtId="0" fontId="14" fillId="10" borderId="27" xfId="0" applyFont="1" applyFill="1" applyBorder="1" applyAlignment="1">
      <alignment horizontal="left" vertical="center" wrapText="1"/>
    </xf>
    <xf numFmtId="0" fontId="14" fillId="10" borderId="28" xfId="0" applyFont="1" applyFill="1" applyBorder="1" applyAlignment="1">
      <alignment horizontal="left" vertical="center" wrapText="1"/>
    </xf>
    <xf numFmtId="0" fontId="5" fillId="10" borderId="11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167" fontId="14" fillId="10" borderId="27" xfId="0" applyNumberFormat="1" applyFont="1" applyFill="1" applyBorder="1" applyAlignment="1">
      <alignment horizontal="left" vertical="center" wrapText="1"/>
    </xf>
    <xf numFmtId="167" fontId="14" fillId="10" borderId="28" xfId="0" applyNumberFormat="1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/>
    </xf>
    <xf numFmtId="0" fontId="14" fillId="13" borderId="67" xfId="0" applyFont="1" applyFill="1" applyBorder="1" applyAlignment="1">
      <alignment horizontal="left" wrapText="1"/>
    </xf>
    <xf numFmtId="0" fontId="14" fillId="13" borderId="20" xfId="0" applyFont="1" applyFill="1" applyBorder="1" applyAlignment="1">
      <alignment horizontal="left" wrapText="1"/>
    </xf>
    <xf numFmtId="0" fontId="14" fillId="13" borderId="42" xfId="0" applyFont="1" applyFill="1" applyBorder="1" applyAlignment="1">
      <alignment horizontal="left" wrapText="1"/>
    </xf>
    <xf numFmtId="0" fontId="14" fillId="5" borderId="2" xfId="0" applyFont="1" applyFill="1" applyBorder="1" applyAlignment="1">
      <alignment horizontal="left"/>
    </xf>
    <xf numFmtId="0" fontId="14" fillId="5" borderId="3" xfId="0" applyFont="1" applyFill="1" applyBorder="1" applyAlignment="1">
      <alignment horizontal="left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17" fillId="10" borderId="27" xfId="0" applyFont="1" applyFill="1" applyBorder="1" applyAlignment="1">
      <alignment horizontal="left" vertical="center" wrapText="1"/>
    </xf>
    <xf numFmtId="0" fontId="17" fillId="10" borderId="28" xfId="0" applyFont="1" applyFill="1" applyBorder="1" applyAlignment="1">
      <alignment horizontal="left" vertical="center" wrapText="1"/>
    </xf>
    <xf numFmtId="0" fontId="14" fillId="10" borderId="27" xfId="0" applyFont="1" applyFill="1" applyBorder="1" applyAlignment="1">
      <alignment horizontal="left" vertical="top" wrapText="1"/>
    </xf>
    <xf numFmtId="0" fontId="14" fillId="10" borderId="28" xfId="0" applyFont="1" applyFill="1" applyBorder="1" applyAlignment="1">
      <alignment horizontal="left" vertical="top" wrapText="1"/>
    </xf>
    <xf numFmtId="0" fontId="5" fillId="10" borderId="27" xfId="0" applyFont="1" applyFill="1" applyBorder="1" applyAlignment="1">
      <alignment horizontal="left" vertical="center" wrapText="1"/>
    </xf>
    <xf numFmtId="0" fontId="5" fillId="10" borderId="28" xfId="0" applyFont="1" applyFill="1" applyBorder="1" applyAlignment="1">
      <alignment horizontal="left" vertical="center" wrapText="1"/>
    </xf>
    <xf numFmtId="0" fontId="14" fillId="11" borderId="19" xfId="0" applyFont="1" applyFill="1" applyBorder="1" applyAlignment="1">
      <alignment vertical="top" wrapText="1"/>
    </xf>
    <xf numFmtId="0" fontId="14" fillId="11" borderId="18" xfId="0" applyFont="1" applyFill="1" applyBorder="1" applyAlignment="1">
      <alignment vertical="top" wrapText="1"/>
    </xf>
    <xf numFmtId="0" fontId="14" fillId="11" borderId="61" xfId="0" applyFont="1" applyFill="1" applyBorder="1" applyAlignment="1">
      <alignment vertical="top" wrapText="1"/>
    </xf>
    <xf numFmtId="0" fontId="14" fillId="11" borderId="62" xfId="0" applyFont="1" applyFill="1" applyBorder="1" applyAlignment="1">
      <alignment vertical="top" wrapText="1"/>
    </xf>
    <xf numFmtId="0" fontId="14" fillId="11" borderId="27" xfId="0" applyFont="1" applyFill="1" applyBorder="1" applyAlignment="1">
      <alignment vertical="center" wrapText="1"/>
    </xf>
    <xf numFmtId="0" fontId="14" fillId="11" borderId="28" xfId="0" applyFont="1" applyFill="1" applyBorder="1" applyAlignment="1">
      <alignment vertical="center" wrapText="1"/>
    </xf>
    <xf numFmtId="0" fontId="14" fillId="12" borderId="27" xfId="0" applyFont="1" applyFill="1" applyBorder="1" applyAlignment="1">
      <alignment vertical="top" wrapText="1"/>
    </xf>
    <xf numFmtId="0" fontId="14" fillId="12" borderId="28" xfId="0" applyFont="1" applyFill="1" applyBorder="1" applyAlignment="1">
      <alignment vertical="top" wrapText="1"/>
    </xf>
    <xf numFmtId="49" fontId="14" fillId="11" borderId="27" xfId="0" applyNumberFormat="1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3" borderId="17" xfId="0" applyFont="1" applyFill="1" applyBorder="1" applyAlignment="1">
      <alignment horizontal="left" vertical="top" wrapText="1"/>
    </xf>
    <xf numFmtId="49" fontId="10" fillId="3" borderId="18" xfId="0" applyNumberFormat="1" applyFont="1" applyFill="1" applyBorder="1" applyAlignment="1">
      <alignment horizontal="center" vertical="top" wrapText="1"/>
    </xf>
    <xf numFmtId="49" fontId="10" fillId="3" borderId="16" xfId="0" applyNumberFormat="1" applyFont="1" applyFill="1" applyBorder="1" applyAlignment="1">
      <alignment horizontal="left" vertical="top" wrapText="1"/>
    </xf>
    <xf numFmtId="49" fontId="10" fillId="0" borderId="16" xfId="0" applyNumberFormat="1" applyFont="1" applyFill="1" applyBorder="1" applyAlignment="1">
      <alignment vertical="top" wrapText="1"/>
    </xf>
    <xf numFmtId="0" fontId="29" fillId="3" borderId="20" xfId="0" applyFont="1" applyFill="1" applyBorder="1" applyAlignment="1">
      <alignment horizontal="left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 wrapText="1"/>
    </xf>
    <xf numFmtId="0" fontId="29" fillId="0" borderId="20" xfId="0" applyFont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top" wrapText="1"/>
    </xf>
    <xf numFmtId="0" fontId="9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4" fontId="9" fillId="0" borderId="16" xfId="0" applyNumberFormat="1" applyFont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top"/>
    </xf>
    <xf numFmtId="0" fontId="9" fillId="0" borderId="15" xfId="0" applyFont="1" applyBorder="1" applyAlignment="1">
      <alignment horizontal="left" vertical="top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67" fontId="11" fillId="0" borderId="15" xfId="0" applyNumberFormat="1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4"/>
  <sheetViews>
    <sheetView topLeftCell="A42" zoomScale="106" zoomScaleNormal="106" workbookViewId="0">
      <selection sqref="A1:V44"/>
    </sheetView>
  </sheetViews>
  <sheetFormatPr baseColWidth="10" defaultColWidth="11.42578125" defaultRowHeight="12.75" x14ac:dyDescent="0.2"/>
  <cols>
    <col min="1" max="1" width="6.7109375" style="8" customWidth="1"/>
    <col min="2" max="2" width="23.28515625" style="6" customWidth="1"/>
    <col min="3" max="3" width="13.42578125" style="7" customWidth="1"/>
    <col min="4" max="4" width="21.28515625" style="7" customWidth="1"/>
    <col min="5" max="16" width="2.42578125" style="7" customWidth="1"/>
    <col min="17" max="17" width="16.42578125" style="8" customWidth="1"/>
    <col min="18" max="18" width="17.42578125" style="7" customWidth="1"/>
    <col min="19" max="19" width="11.140625" style="42" customWidth="1"/>
    <col min="20" max="20" width="21.140625" style="173" customWidth="1"/>
    <col min="21" max="21" width="22" style="8" customWidth="1"/>
    <col min="22" max="16384" width="11.42578125" style="8"/>
  </cols>
  <sheetData>
    <row r="1" spans="1:21" s="57" customFormat="1" ht="18" x14ac:dyDescent="0.25">
      <c r="A1" s="769" t="s">
        <v>19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</row>
    <row r="2" spans="1:21" s="57" customFormat="1" ht="18" x14ac:dyDescent="0.25">
      <c r="A2" s="769" t="str">
        <f>PC!A2</f>
        <v>PLAN OPERATIVO ANUAL 2021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</row>
    <row r="3" spans="1:21" s="57" customFormat="1" ht="15.75" customHeight="1" x14ac:dyDescent="0.25">
      <c r="A3" s="769" t="str">
        <f>PC!A3</f>
        <v>PARQUE NACIONAL SIERRA DEL LACANDÓN, RESERVA DE BIOSFERA MAYA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  <c r="S3" s="769"/>
      <c r="T3" s="769"/>
      <c r="U3" s="769"/>
    </row>
    <row r="4" spans="1:21" s="57" customFormat="1" ht="6.95" customHeigh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8"/>
      <c r="U4" s="215"/>
    </row>
    <row r="5" spans="1:21" s="57" customFormat="1" ht="21.95" customHeight="1" x14ac:dyDescent="0.25">
      <c r="A5" s="219" t="s">
        <v>237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20"/>
      <c r="T5" s="221"/>
      <c r="U5" s="219"/>
    </row>
    <row r="6" spans="1:21" s="13" customFormat="1" ht="18" x14ac:dyDescent="0.25">
      <c r="A6" s="219" t="s">
        <v>238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20"/>
      <c r="T6" s="221"/>
      <c r="U6" s="219"/>
    </row>
    <row r="7" spans="1:21" s="13" customFormat="1" ht="18" x14ac:dyDescent="0.25">
      <c r="A7" s="219" t="s">
        <v>239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20"/>
      <c r="T7" s="221"/>
      <c r="U7" s="219"/>
    </row>
    <row r="8" spans="1:21" s="13" customFormat="1" ht="34.5" customHeight="1" thickBot="1" x14ac:dyDescent="0.3">
      <c r="A8" s="773" t="s">
        <v>240</v>
      </c>
      <c r="B8" s="773"/>
      <c r="C8" s="773"/>
      <c r="D8" s="773"/>
      <c r="E8" s="773"/>
      <c r="F8" s="773"/>
      <c r="G8" s="773"/>
      <c r="H8" s="773"/>
      <c r="I8" s="773"/>
      <c r="J8" s="773"/>
      <c r="K8" s="773"/>
      <c r="L8" s="773"/>
      <c r="M8" s="773"/>
      <c r="N8" s="773"/>
      <c r="O8" s="773"/>
      <c r="P8" s="773"/>
      <c r="Q8" s="773"/>
      <c r="R8" s="773"/>
      <c r="S8" s="773"/>
      <c r="T8" s="773"/>
      <c r="U8" s="773"/>
    </row>
    <row r="9" spans="1:21" s="3" customFormat="1" x14ac:dyDescent="0.2">
      <c r="A9" s="770" t="s">
        <v>14</v>
      </c>
      <c r="B9" s="753" t="s">
        <v>315</v>
      </c>
      <c r="C9" s="753" t="s">
        <v>20</v>
      </c>
      <c r="D9" s="753" t="s">
        <v>0</v>
      </c>
      <c r="E9" s="772" t="s">
        <v>17</v>
      </c>
      <c r="F9" s="772"/>
      <c r="G9" s="772"/>
      <c r="H9" s="772"/>
      <c r="I9" s="772"/>
      <c r="J9" s="772"/>
      <c r="K9" s="772"/>
      <c r="L9" s="772"/>
      <c r="M9" s="772"/>
      <c r="N9" s="772"/>
      <c r="O9" s="772"/>
      <c r="P9" s="772"/>
      <c r="Q9" s="753" t="s">
        <v>10</v>
      </c>
      <c r="R9" s="753" t="s">
        <v>11</v>
      </c>
      <c r="S9" s="751" t="s">
        <v>12</v>
      </c>
      <c r="T9" s="751"/>
      <c r="U9" s="752"/>
    </row>
    <row r="10" spans="1:21" ht="13.5" customHeight="1" thickBot="1" x14ac:dyDescent="0.25">
      <c r="A10" s="771"/>
      <c r="B10" s="754"/>
      <c r="C10" s="754"/>
      <c r="D10" s="754"/>
      <c r="E10" s="66" t="s">
        <v>1</v>
      </c>
      <c r="F10" s="66" t="s">
        <v>2</v>
      </c>
      <c r="G10" s="66" t="s">
        <v>3</v>
      </c>
      <c r="H10" s="66" t="s">
        <v>4</v>
      </c>
      <c r="I10" s="66" t="s">
        <v>3</v>
      </c>
      <c r="J10" s="66" t="s">
        <v>5</v>
      </c>
      <c r="K10" s="66" t="s">
        <v>5</v>
      </c>
      <c r="L10" s="66" t="s">
        <v>4</v>
      </c>
      <c r="M10" s="66" t="s">
        <v>6</v>
      </c>
      <c r="N10" s="66" t="s">
        <v>7</v>
      </c>
      <c r="O10" s="66" t="s">
        <v>8</v>
      </c>
      <c r="P10" s="66" t="s">
        <v>9</v>
      </c>
      <c r="Q10" s="754"/>
      <c r="R10" s="754"/>
      <c r="S10" s="67" t="s">
        <v>21</v>
      </c>
      <c r="T10" s="229" t="s">
        <v>18</v>
      </c>
      <c r="U10" s="29" t="s">
        <v>13</v>
      </c>
    </row>
    <row r="11" spans="1:21" ht="89.25" x14ac:dyDescent="0.2">
      <c r="A11" s="777">
        <v>1.1000000000000001</v>
      </c>
      <c r="B11" s="782" t="s">
        <v>179</v>
      </c>
      <c r="C11" s="107" t="s">
        <v>31</v>
      </c>
      <c r="D11" s="201" t="s">
        <v>263</v>
      </c>
      <c r="E11" s="100"/>
      <c r="F11" s="100" t="s">
        <v>32</v>
      </c>
      <c r="G11" s="186" t="s">
        <v>32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86" t="s">
        <v>316</v>
      </c>
      <c r="R11" s="187" t="s">
        <v>122</v>
      </c>
      <c r="S11" s="185"/>
      <c r="T11" s="230">
        <f>PST!J8</f>
        <v>5648</v>
      </c>
      <c r="U11" s="758">
        <f>SUM(T11:T11:T16)</f>
        <v>789302</v>
      </c>
    </row>
    <row r="12" spans="1:21" ht="127.5" x14ac:dyDescent="0.2">
      <c r="A12" s="778"/>
      <c r="B12" s="783"/>
      <c r="C12" s="260" t="s">
        <v>317</v>
      </c>
      <c r="D12" s="166" t="s">
        <v>321</v>
      </c>
      <c r="E12" s="188"/>
      <c r="F12" s="43"/>
      <c r="G12" s="259" t="s">
        <v>146</v>
      </c>
      <c r="H12" s="188" t="s">
        <v>146</v>
      </c>
      <c r="I12" s="259" t="s">
        <v>146</v>
      </c>
      <c r="J12" s="259" t="s">
        <v>146</v>
      </c>
      <c r="K12" s="259" t="s">
        <v>146</v>
      </c>
      <c r="L12" s="43"/>
      <c r="M12" s="43"/>
      <c r="N12" s="43"/>
      <c r="O12" s="43"/>
      <c r="P12" s="43"/>
      <c r="Q12" s="188" t="s">
        <v>318</v>
      </c>
      <c r="R12" s="282" t="s">
        <v>319</v>
      </c>
      <c r="S12" s="43"/>
      <c r="T12" s="230">
        <f>+PST!J17</f>
        <v>27043</v>
      </c>
      <c r="U12" s="768"/>
    </row>
    <row r="13" spans="1:21" ht="81" customHeight="1" x14ac:dyDescent="0.2">
      <c r="A13" s="778"/>
      <c r="B13" s="783"/>
      <c r="C13" s="260" t="s">
        <v>150</v>
      </c>
      <c r="D13" s="166" t="s">
        <v>302</v>
      </c>
      <c r="E13" s="188"/>
      <c r="F13" s="259" t="s">
        <v>32</v>
      </c>
      <c r="G13" s="188" t="s">
        <v>32</v>
      </c>
      <c r="H13" s="188" t="s">
        <v>32</v>
      </c>
      <c r="I13" s="188" t="s">
        <v>32</v>
      </c>
      <c r="J13" s="259" t="s">
        <v>32</v>
      </c>
      <c r="K13" s="43"/>
      <c r="L13" s="43"/>
      <c r="M13" s="43"/>
      <c r="N13" s="43"/>
      <c r="O13" s="43"/>
      <c r="P13" s="43"/>
      <c r="Q13" s="188" t="s">
        <v>183</v>
      </c>
      <c r="R13" s="196" t="s">
        <v>149</v>
      </c>
      <c r="S13" s="43"/>
      <c r="T13" s="230">
        <f>+PST!J29</f>
        <v>461224</v>
      </c>
      <c r="U13" s="768"/>
    </row>
    <row r="14" spans="1:21" ht="153" x14ac:dyDescent="0.2">
      <c r="A14" s="778"/>
      <c r="B14" s="783"/>
      <c r="C14" s="260" t="s">
        <v>481</v>
      </c>
      <c r="D14" s="166" t="s">
        <v>482</v>
      </c>
      <c r="E14" s="188"/>
      <c r="F14" s="188" t="s">
        <v>32</v>
      </c>
      <c r="G14" s="259" t="s">
        <v>32</v>
      </c>
      <c r="H14" s="188"/>
      <c r="I14" s="188"/>
      <c r="J14" s="43"/>
      <c r="K14" s="43"/>
      <c r="L14" s="43"/>
      <c r="M14" s="188" t="s">
        <v>32</v>
      </c>
      <c r="N14" s="188" t="s">
        <v>32</v>
      </c>
      <c r="O14" s="188" t="s">
        <v>32</v>
      </c>
      <c r="P14" s="43"/>
      <c r="Q14" s="259" t="s">
        <v>177</v>
      </c>
      <c r="R14" s="282" t="s">
        <v>320</v>
      </c>
      <c r="S14" s="43"/>
      <c r="T14" s="230">
        <f>+PST!J55</f>
        <v>214501</v>
      </c>
      <c r="U14" s="768"/>
    </row>
    <row r="15" spans="1:21" ht="127.5" x14ac:dyDescent="0.2">
      <c r="A15" s="778"/>
      <c r="B15" s="783"/>
      <c r="C15" s="603"/>
      <c r="D15" s="285" t="s">
        <v>483</v>
      </c>
      <c r="E15" s="604" t="s">
        <v>32</v>
      </c>
      <c r="F15" s="604" t="s">
        <v>32</v>
      </c>
      <c r="G15" s="604" t="s">
        <v>32</v>
      </c>
      <c r="H15" s="605"/>
      <c r="I15" s="605"/>
      <c r="J15" s="602"/>
      <c r="K15" s="602"/>
      <c r="L15" s="602"/>
      <c r="M15" s="605"/>
      <c r="N15" s="605"/>
      <c r="O15" s="605"/>
      <c r="P15" s="602"/>
      <c r="Q15" s="186" t="s">
        <v>316</v>
      </c>
      <c r="R15" s="606" t="s">
        <v>484</v>
      </c>
      <c r="S15" s="602"/>
      <c r="T15" s="287">
        <f>+PST!J68</f>
        <v>50531</v>
      </c>
      <c r="U15" s="768"/>
    </row>
    <row r="16" spans="1:21" ht="117.75" customHeight="1" x14ac:dyDescent="0.2">
      <c r="A16" s="779"/>
      <c r="B16" s="784"/>
      <c r="C16" s="65" t="s">
        <v>31</v>
      </c>
      <c r="D16" s="166" t="s">
        <v>303</v>
      </c>
      <c r="E16" s="43" t="s">
        <v>146</v>
      </c>
      <c r="F16" s="43" t="s">
        <v>146</v>
      </c>
      <c r="G16" s="43" t="s">
        <v>146</v>
      </c>
      <c r="H16" s="43" t="s">
        <v>146</v>
      </c>
      <c r="I16" s="43" t="s">
        <v>146</v>
      </c>
      <c r="J16" s="43" t="s">
        <v>146</v>
      </c>
      <c r="K16" s="43" t="s">
        <v>146</v>
      </c>
      <c r="L16" s="43" t="s">
        <v>146</v>
      </c>
      <c r="M16" s="43" t="s">
        <v>146</v>
      </c>
      <c r="N16" s="43" t="s">
        <v>146</v>
      </c>
      <c r="O16" s="43" t="s">
        <v>146</v>
      </c>
      <c r="P16" s="43" t="s">
        <v>146</v>
      </c>
      <c r="Q16" s="259" t="s">
        <v>183</v>
      </c>
      <c r="R16" s="99" t="s">
        <v>147</v>
      </c>
      <c r="S16" s="43"/>
      <c r="T16" s="230">
        <f>+PST!J79</f>
        <v>30355</v>
      </c>
      <c r="U16" s="768"/>
    </row>
    <row r="17" spans="1:21" ht="63.75" x14ac:dyDescent="0.2">
      <c r="A17" s="757">
        <v>1.2</v>
      </c>
      <c r="B17" s="764" t="s">
        <v>178</v>
      </c>
      <c r="C17" s="65" t="s">
        <v>31</v>
      </c>
      <c r="D17" s="166" t="s">
        <v>244</v>
      </c>
      <c r="E17" s="43"/>
      <c r="F17" s="259" t="s">
        <v>32</v>
      </c>
      <c r="G17" s="43"/>
      <c r="H17" s="43"/>
      <c r="I17" s="43"/>
      <c r="J17" s="259" t="s">
        <v>32</v>
      </c>
      <c r="K17" s="43"/>
      <c r="L17" s="43"/>
      <c r="M17" s="43"/>
      <c r="N17" s="43"/>
      <c r="O17" s="43"/>
      <c r="P17" s="43"/>
      <c r="Q17" s="259" t="s">
        <v>34</v>
      </c>
      <c r="R17" s="99" t="s">
        <v>50</v>
      </c>
      <c r="S17" s="759"/>
      <c r="T17" s="230">
        <f>+PST!J84</f>
        <v>8880</v>
      </c>
      <c r="U17" s="785">
        <f>SUM(T17:T18)</f>
        <v>35105</v>
      </c>
    </row>
    <row r="18" spans="1:21" ht="102" x14ac:dyDescent="0.2">
      <c r="A18" s="757"/>
      <c r="B18" s="765"/>
      <c r="C18" s="65" t="s">
        <v>31</v>
      </c>
      <c r="D18" s="166" t="s">
        <v>264</v>
      </c>
      <c r="E18" s="43"/>
      <c r="F18" s="43" t="s">
        <v>146</v>
      </c>
      <c r="G18" s="43" t="s">
        <v>146</v>
      </c>
      <c r="H18" s="43" t="s">
        <v>146</v>
      </c>
      <c r="I18" s="43" t="s">
        <v>146</v>
      </c>
      <c r="J18" s="43" t="s">
        <v>146</v>
      </c>
      <c r="K18" s="43" t="s">
        <v>146</v>
      </c>
      <c r="L18" s="43" t="s">
        <v>146</v>
      </c>
      <c r="M18" s="43" t="s">
        <v>146</v>
      </c>
      <c r="N18" s="43" t="s">
        <v>146</v>
      </c>
      <c r="O18" s="43" t="s">
        <v>146</v>
      </c>
      <c r="P18" s="43"/>
      <c r="Q18" s="259" t="s">
        <v>177</v>
      </c>
      <c r="R18" s="99" t="s">
        <v>148</v>
      </c>
      <c r="S18" s="759"/>
      <c r="T18" s="230">
        <f>+PST!J91</f>
        <v>26225</v>
      </c>
      <c r="U18" s="784"/>
    </row>
    <row r="19" spans="1:21" ht="69.75" customHeight="1" x14ac:dyDescent="0.2">
      <c r="A19" s="778">
        <v>1.3</v>
      </c>
      <c r="B19" s="780" t="s">
        <v>259</v>
      </c>
      <c r="C19" s="65" t="s">
        <v>31</v>
      </c>
      <c r="D19" s="166" t="s">
        <v>301</v>
      </c>
      <c r="E19" s="35" t="s">
        <v>146</v>
      </c>
      <c r="F19" s="35" t="s">
        <v>146</v>
      </c>
      <c r="G19" s="35" t="s">
        <v>146</v>
      </c>
      <c r="H19" s="35" t="s">
        <v>146</v>
      </c>
      <c r="I19" s="35" t="s">
        <v>146</v>
      </c>
      <c r="J19" s="35" t="s">
        <v>146</v>
      </c>
      <c r="K19" s="35" t="s">
        <v>146</v>
      </c>
      <c r="L19" s="35" t="s">
        <v>146</v>
      </c>
      <c r="M19" s="35" t="s">
        <v>146</v>
      </c>
      <c r="N19" s="35" t="s">
        <v>146</v>
      </c>
      <c r="O19" s="35" t="s">
        <v>146</v>
      </c>
      <c r="P19" s="35" t="s">
        <v>146</v>
      </c>
      <c r="Q19" s="261" t="s">
        <v>177</v>
      </c>
      <c r="R19" s="52" t="s">
        <v>148</v>
      </c>
      <c r="S19" s="101"/>
      <c r="T19" s="230">
        <f>+PST!J98</f>
        <v>4295</v>
      </c>
      <c r="U19" s="758">
        <f>SUM(T19:T20)</f>
        <v>5419</v>
      </c>
    </row>
    <row r="20" spans="1:21" ht="67.5" customHeight="1" x14ac:dyDescent="0.2">
      <c r="A20" s="779"/>
      <c r="B20" s="781"/>
      <c r="C20" s="65" t="s">
        <v>31</v>
      </c>
      <c r="D20" s="166" t="s">
        <v>265</v>
      </c>
      <c r="E20" s="35" t="s">
        <v>146</v>
      </c>
      <c r="F20" s="35" t="s">
        <v>146</v>
      </c>
      <c r="G20" s="35" t="s">
        <v>146</v>
      </c>
      <c r="H20" s="35" t="s">
        <v>146</v>
      </c>
      <c r="I20" s="35" t="s">
        <v>146</v>
      </c>
      <c r="J20" s="35" t="s">
        <v>146</v>
      </c>
      <c r="K20" s="35" t="s">
        <v>146</v>
      </c>
      <c r="L20" s="35" t="s">
        <v>146</v>
      </c>
      <c r="M20" s="35" t="s">
        <v>146</v>
      </c>
      <c r="N20" s="35" t="s">
        <v>146</v>
      </c>
      <c r="O20" s="35" t="s">
        <v>146</v>
      </c>
      <c r="P20" s="35" t="s">
        <v>146</v>
      </c>
      <c r="Q20" s="261" t="s">
        <v>177</v>
      </c>
      <c r="R20" s="52" t="s">
        <v>73</v>
      </c>
      <c r="S20" s="101"/>
      <c r="T20" s="230">
        <f>+PST!J103</f>
        <v>1124</v>
      </c>
      <c r="U20" s="768"/>
    </row>
    <row r="21" spans="1:21" ht="76.5" x14ac:dyDescent="0.2">
      <c r="A21" s="760"/>
      <c r="B21" s="763"/>
      <c r="C21" s="191" t="s">
        <v>150</v>
      </c>
      <c r="D21" s="166" t="s">
        <v>492</v>
      </c>
      <c r="E21" s="35"/>
      <c r="F21" s="35"/>
      <c r="G21" s="35"/>
      <c r="H21" s="35" t="s">
        <v>32</v>
      </c>
      <c r="I21" s="35"/>
      <c r="J21" s="35"/>
      <c r="K21" s="35"/>
      <c r="L21" s="166" t="s">
        <v>32</v>
      </c>
      <c r="M21" s="35"/>
      <c r="N21" s="35"/>
      <c r="O21" s="35" t="s">
        <v>32</v>
      </c>
      <c r="P21" s="35"/>
      <c r="Q21" s="169" t="s">
        <v>322</v>
      </c>
      <c r="R21" s="35" t="s">
        <v>73</v>
      </c>
      <c r="S21" s="139"/>
      <c r="T21" s="230">
        <f>+PST!J105</f>
        <v>23075.1</v>
      </c>
      <c r="U21" s="758"/>
    </row>
    <row r="22" spans="1:21" ht="105" customHeight="1" x14ac:dyDescent="0.2">
      <c r="A22" s="760"/>
      <c r="B22" s="763"/>
      <c r="C22" s="193" t="s">
        <v>174</v>
      </c>
      <c r="D22" s="268" t="s">
        <v>493</v>
      </c>
      <c r="E22" s="194" t="s">
        <v>32</v>
      </c>
      <c r="F22" s="194" t="s">
        <v>32</v>
      </c>
      <c r="G22" s="194" t="s">
        <v>32</v>
      </c>
      <c r="H22" s="194" t="s">
        <v>32</v>
      </c>
      <c r="I22" s="194" t="s">
        <v>32</v>
      </c>
      <c r="J22" s="194" t="s">
        <v>32</v>
      </c>
      <c r="K22" s="194" t="s">
        <v>32</v>
      </c>
      <c r="L22" s="194" t="s">
        <v>32</v>
      </c>
      <c r="M22" s="194" t="s">
        <v>32</v>
      </c>
      <c r="N22" s="194" t="s">
        <v>32</v>
      </c>
      <c r="O22" s="194" t="s">
        <v>32</v>
      </c>
      <c r="P22" s="194" t="s">
        <v>32</v>
      </c>
      <c r="Q22" s="268" t="s">
        <v>324</v>
      </c>
      <c r="R22" s="283" t="s">
        <v>325</v>
      </c>
      <c r="S22" s="139"/>
      <c r="T22" s="230">
        <f>+PST!J114</f>
        <v>32157</v>
      </c>
      <c r="U22" s="758"/>
    </row>
    <row r="23" spans="1:21" s="64" customFormat="1" ht="17.25" customHeight="1" thickBot="1" x14ac:dyDescent="0.25">
      <c r="A23" s="774" t="s">
        <v>112</v>
      </c>
      <c r="B23" s="775"/>
      <c r="C23" s="775"/>
      <c r="D23" s="775"/>
      <c r="E23" s="775"/>
      <c r="F23" s="775"/>
      <c r="G23" s="775"/>
      <c r="H23" s="775"/>
      <c r="I23" s="775"/>
      <c r="J23" s="775"/>
      <c r="K23" s="775"/>
      <c r="L23" s="775"/>
      <c r="M23" s="775"/>
      <c r="N23" s="775"/>
      <c r="O23" s="775"/>
      <c r="P23" s="775"/>
      <c r="Q23" s="775"/>
      <c r="R23" s="775"/>
      <c r="S23" s="775"/>
      <c r="T23" s="776"/>
      <c r="U23" s="178">
        <f>SUM(U11:U22)</f>
        <v>829826</v>
      </c>
    </row>
    <row r="25" spans="1:21" s="4" customFormat="1" x14ac:dyDescent="0.2">
      <c r="A25" s="11"/>
      <c r="B25" s="12"/>
      <c r="C25" s="12"/>
      <c r="D25" s="12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2"/>
      <c r="R25" s="12"/>
      <c r="S25" s="11"/>
      <c r="T25" s="170"/>
      <c r="U25" s="11"/>
    </row>
    <row r="26" spans="1:21" s="13" customFormat="1" x14ac:dyDescent="0.2">
      <c r="A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9"/>
      <c r="T26" s="170"/>
      <c r="U26" s="10"/>
    </row>
    <row r="27" spans="1:21" ht="15.75" x14ac:dyDescent="0.25">
      <c r="A27" s="97" t="s">
        <v>133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171"/>
      <c r="U27" s="97"/>
    </row>
    <row r="28" spans="1:21" ht="15.75" x14ac:dyDescent="0.25">
      <c r="A28" s="97" t="s">
        <v>134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171"/>
      <c r="U28" s="97"/>
    </row>
    <row r="29" spans="1:21" ht="15.75" x14ac:dyDescent="0.25">
      <c r="A29" s="97" t="s">
        <v>135</v>
      </c>
      <c r="B29" s="288"/>
      <c r="C29" s="288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171"/>
      <c r="U29" s="97"/>
    </row>
    <row r="30" spans="1:21" ht="35.25" customHeight="1" thickBot="1" x14ac:dyDescent="0.3">
      <c r="A30" s="796" t="s">
        <v>136</v>
      </c>
      <c r="B30" s="796"/>
      <c r="C30" s="796"/>
      <c r="D30" s="796"/>
      <c r="E30" s="796"/>
      <c r="F30" s="796"/>
      <c r="G30" s="796"/>
      <c r="H30" s="796"/>
      <c r="I30" s="796"/>
      <c r="J30" s="796"/>
      <c r="K30" s="796"/>
      <c r="L30" s="796"/>
      <c r="M30" s="796"/>
      <c r="N30" s="796"/>
      <c r="O30" s="796"/>
      <c r="P30" s="796"/>
      <c r="Q30" s="796"/>
      <c r="R30" s="796"/>
      <c r="S30" s="796"/>
      <c r="T30" s="796"/>
      <c r="U30" s="796"/>
    </row>
    <row r="31" spans="1:21" s="3" customFormat="1" ht="15" x14ac:dyDescent="0.2">
      <c r="A31" s="800" t="s">
        <v>14</v>
      </c>
      <c r="B31" s="755" t="s">
        <v>252</v>
      </c>
      <c r="C31" s="755" t="s">
        <v>16</v>
      </c>
      <c r="D31" s="755" t="s">
        <v>0</v>
      </c>
      <c r="E31" s="755" t="s">
        <v>17</v>
      </c>
      <c r="F31" s="755"/>
      <c r="G31" s="755"/>
      <c r="H31" s="755"/>
      <c r="I31" s="755"/>
      <c r="J31" s="755"/>
      <c r="K31" s="755"/>
      <c r="L31" s="755"/>
      <c r="M31" s="755"/>
      <c r="N31" s="755"/>
      <c r="O31" s="755"/>
      <c r="P31" s="755"/>
      <c r="Q31" s="755" t="s">
        <v>10</v>
      </c>
      <c r="R31" s="755" t="s">
        <v>11</v>
      </c>
      <c r="S31" s="761" t="s">
        <v>12</v>
      </c>
      <c r="T31" s="761"/>
      <c r="U31" s="762"/>
    </row>
    <row r="32" spans="1:21" ht="17.25" customHeight="1" thickBot="1" x14ac:dyDescent="0.25">
      <c r="A32" s="801"/>
      <c r="B32" s="756"/>
      <c r="C32" s="756"/>
      <c r="D32" s="756"/>
      <c r="E32" s="110" t="s">
        <v>1</v>
      </c>
      <c r="F32" s="110" t="s">
        <v>2</v>
      </c>
      <c r="G32" s="110" t="s">
        <v>3</v>
      </c>
      <c r="H32" s="110" t="s">
        <v>4</v>
      </c>
      <c r="I32" s="110" t="s">
        <v>3</v>
      </c>
      <c r="J32" s="110" t="s">
        <v>5</v>
      </c>
      <c r="K32" s="110" t="s">
        <v>5</v>
      </c>
      <c r="L32" s="110" t="s">
        <v>4</v>
      </c>
      <c r="M32" s="110" t="s">
        <v>6</v>
      </c>
      <c r="N32" s="110" t="s">
        <v>7</v>
      </c>
      <c r="O32" s="110" t="s">
        <v>8</v>
      </c>
      <c r="P32" s="110" t="s">
        <v>9</v>
      </c>
      <c r="Q32" s="756"/>
      <c r="R32" s="756"/>
      <c r="S32" s="174" t="s">
        <v>137</v>
      </c>
      <c r="T32" s="232" t="s">
        <v>18</v>
      </c>
      <c r="U32" s="175" t="s">
        <v>13</v>
      </c>
    </row>
    <row r="33" spans="1:23" ht="187.15" customHeight="1" x14ac:dyDescent="0.2">
      <c r="A33" s="737">
        <v>1.5</v>
      </c>
      <c r="B33" s="738" t="s">
        <v>180</v>
      </c>
      <c r="C33" s="109" t="s">
        <v>31</v>
      </c>
      <c r="D33" s="134" t="s">
        <v>412</v>
      </c>
      <c r="E33" s="109" t="s">
        <v>32</v>
      </c>
      <c r="F33" s="109" t="s">
        <v>32</v>
      </c>
      <c r="G33" s="109" t="s">
        <v>32</v>
      </c>
      <c r="H33" s="109" t="s">
        <v>32</v>
      </c>
      <c r="I33" s="109" t="s">
        <v>32</v>
      </c>
      <c r="J33" s="109" t="s">
        <v>32</v>
      </c>
      <c r="K33" s="109" t="s">
        <v>32</v>
      </c>
      <c r="L33" s="109" t="s">
        <v>32</v>
      </c>
      <c r="M33" s="109" t="s">
        <v>32</v>
      </c>
      <c r="N33" s="109" t="s">
        <v>32</v>
      </c>
      <c r="O33" s="109" t="s">
        <v>32</v>
      </c>
      <c r="P33" s="109" t="s">
        <v>32</v>
      </c>
      <c r="Q33" s="108" t="s">
        <v>183</v>
      </c>
      <c r="R33" s="108" t="s">
        <v>149</v>
      </c>
      <c r="S33" s="92"/>
      <c r="T33" s="233">
        <f>+PST!J121</f>
        <v>97224</v>
      </c>
      <c r="U33" s="262">
        <f>SUM(T33:T33)</f>
        <v>97224</v>
      </c>
    </row>
    <row r="34" spans="1:23" ht="104.25" customHeight="1" x14ac:dyDescent="0.2">
      <c r="A34" s="786">
        <v>1.6</v>
      </c>
      <c r="B34" s="793" t="s">
        <v>416</v>
      </c>
      <c r="C34" s="797" t="s">
        <v>31</v>
      </c>
      <c r="D34" s="93" t="s">
        <v>413</v>
      </c>
      <c r="E34" s="91" t="s">
        <v>32</v>
      </c>
      <c r="F34" s="91" t="s">
        <v>32</v>
      </c>
      <c r="G34" s="91" t="s">
        <v>32</v>
      </c>
      <c r="H34" s="91" t="s">
        <v>32</v>
      </c>
      <c r="I34" s="91" t="s">
        <v>32</v>
      </c>
      <c r="J34" s="91" t="s">
        <v>32</v>
      </c>
      <c r="K34" s="91" t="s">
        <v>32</v>
      </c>
      <c r="L34" s="91" t="s">
        <v>32</v>
      </c>
      <c r="M34" s="91" t="s">
        <v>32</v>
      </c>
      <c r="N34" s="91" t="s">
        <v>32</v>
      </c>
      <c r="O34" s="91" t="s">
        <v>32</v>
      </c>
      <c r="P34" s="91" t="s">
        <v>32</v>
      </c>
      <c r="Q34" s="90" t="s">
        <v>183</v>
      </c>
      <c r="R34" s="90" t="s">
        <v>36</v>
      </c>
      <c r="S34" s="798"/>
      <c r="T34" s="233">
        <f>+PST!J137</f>
        <v>22332</v>
      </c>
      <c r="U34" s="766">
        <f>SUM(T34:T36)</f>
        <v>46228</v>
      </c>
    </row>
    <row r="35" spans="1:23" ht="114" customHeight="1" x14ac:dyDescent="0.2">
      <c r="A35" s="787"/>
      <c r="B35" s="794"/>
      <c r="C35" s="797"/>
      <c r="D35" s="93" t="s">
        <v>414</v>
      </c>
      <c r="E35" s="94" t="s">
        <v>32</v>
      </c>
      <c r="F35" s="94" t="s">
        <v>32</v>
      </c>
      <c r="G35" s="94" t="s">
        <v>32</v>
      </c>
      <c r="H35" s="94" t="s">
        <v>32</v>
      </c>
      <c r="I35" s="94" t="s">
        <v>32</v>
      </c>
      <c r="J35" s="94" t="s">
        <v>32</v>
      </c>
      <c r="K35" s="94" t="s">
        <v>32</v>
      </c>
      <c r="L35" s="94" t="s">
        <v>32</v>
      </c>
      <c r="M35" s="94" t="s">
        <v>32</v>
      </c>
      <c r="N35" s="94" t="s">
        <v>32</v>
      </c>
      <c r="O35" s="94" t="s">
        <v>32</v>
      </c>
      <c r="P35" s="94" t="s">
        <v>32</v>
      </c>
      <c r="Q35" s="90" t="s">
        <v>183</v>
      </c>
      <c r="R35" s="90" t="s">
        <v>75</v>
      </c>
      <c r="S35" s="799"/>
      <c r="T35" s="233">
        <f>+PST!J140</f>
        <v>21060</v>
      </c>
      <c r="U35" s="767"/>
    </row>
    <row r="36" spans="1:23" ht="171" customHeight="1" x14ac:dyDescent="0.2">
      <c r="A36" s="788"/>
      <c r="B36" s="795"/>
      <c r="C36" s="91"/>
      <c r="D36" s="93" t="s">
        <v>415</v>
      </c>
      <c r="E36" s="94"/>
      <c r="F36" s="94"/>
      <c r="G36" s="94" t="s">
        <v>146</v>
      </c>
      <c r="H36" s="94" t="s">
        <v>146</v>
      </c>
      <c r="I36" s="94" t="s">
        <v>146</v>
      </c>
      <c r="J36" s="94" t="s">
        <v>146</v>
      </c>
      <c r="K36" s="94" t="s">
        <v>146</v>
      </c>
      <c r="L36" s="94" t="s">
        <v>146</v>
      </c>
      <c r="M36" s="94" t="s">
        <v>146</v>
      </c>
      <c r="N36" s="94"/>
      <c r="O36" s="94"/>
      <c r="P36" s="94"/>
      <c r="Q36" s="90" t="s">
        <v>326</v>
      </c>
      <c r="R36" s="90" t="s">
        <v>151</v>
      </c>
      <c r="S36" s="130"/>
      <c r="T36" s="233">
        <f>+PST!J143</f>
        <v>2836</v>
      </c>
      <c r="U36" s="767"/>
    </row>
    <row r="37" spans="1:23" ht="72" customHeight="1" x14ac:dyDescent="0.2">
      <c r="A37" s="786">
        <v>1.7</v>
      </c>
      <c r="B37" s="791" t="s">
        <v>417</v>
      </c>
      <c r="C37" s="797" t="s">
        <v>31</v>
      </c>
      <c r="D37" s="135" t="s">
        <v>418</v>
      </c>
      <c r="E37" s="91"/>
      <c r="F37" s="91" t="s">
        <v>32</v>
      </c>
      <c r="G37" s="91" t="s">
        <v>32</v>
      </c>
      <c r="H37" s="91"/>
      <c r="I37" s="91"/>
      <c r="J37" s="91"/>
      <c r="K37" s="91"/>
      <c r="L37" s="91"/>
      <c r="M37" s="91"/>
      <c r="N37" s="91"/>
      <c r="O37" s="91"/>
      <c r="P37" s="91"/>
      <c r="Q37" s="108" t="s">
        <v>183</v>
      </c>
      <c r="R37" s="90" t="s">
        <v>37</v>
      </c>
      <c r="S37" s="176"/>
      <c r="T37" s="231">
        <f>+PST!J149</f>
        <v>8239</v>
      </c>
      <c r="U37" s="789">
        <f>SUM(T37:T40)</f>
        <v>2830254</v>
      </c>
    </row>
    <row r="38" spans="1:23" ht="108.75" customHeight="1" x14ac:dyDescent="0.2">
      <c r="A38" s="787"/>
      <c r="B38" s="792"/>
      <c r="C38" s="797"/>
      <c r="D38" s="135" t="s">
        <v>419</v>
      </c>
      <c r="E38" s="91" t="s">
        <v>32</v>
      </c>
      <c r="F38" s="91" t="s">
        <v>32</v>
      </c>
      <c r="G38" s="91" t="s">
        <v>32</v>
      </c>
      <c r="H38" s="91" t="s">
        <v>32</v>
      </c>
      <c r="I38" s="91" t="s">
        <v>32</v>
      </c>
      <c r="J38" s="91" t="s">
        <v>32</v>
      </c>
      <c r="K38" s="91" t="s">
        <v>32</v>
      </c>
      <c r="L38" s="91" t="s">
        <v>32</v>
      </c>
      <c r="M38" s="91" t="s">
        <v>32</v>
      </c>
      <c r="N38" s="91" t="s">
        <v>32</v>
      </c>
      <c r="O38" s="91" t="s">
        <v>32</v>
      </c>
      <c r="P38" s="91" t="s">
        <v>32</v>
      </c>
      <c r="Q38" s="108" t="s">
        <v>183</v>
      </c>
      <c r="R38" s="90" t="s">
        <v>149</v>
      </c>
      <c r="S38" s="176"/>
      <c r="T38" s="231">
        <f>+PST!J157</f>
        <v>184954</v>
      </c>
      <c r="U38" s="790"/>
    </row>
    <row r="39" spans="1:23" ht="114" x14ac:dyDescent="0.2">
      <c r="A39" s="787"/>
      <c r="B39" s="792"/>
      <c r="C39" s="797"/>
      <c r="D39" s="135" t="s">
        <v>487</v>
      </c>
      <c r="E39" s="91"/>
      <c r="F39" s="91" t="s">
        <v>146</v>
      </c>
      <c r="G39" s="91" t="s">
        <v>146</v>
      </c>
      <c r="H39" s="91" t="s">
        <v>146</v>
      </c>
      <c r="I39" s="91" t="s">
        <v>146</v>
      </c>
      <c r="J39" s="91" t="s">
        <v>146</v>
      </c>
      <c r="K39" s="91"/>
      <c r="L39" s="91"/>
      <c r="M39" s="91"/>
      <c r="N39" s="91" t="s">
        <v>146</v>
      </c>
      <c r="O39" s="91"/>
      <c r="P39" s="91"/>
      <c r="Q39" s="108" t="s">
        <v>183</v>
      </c>
      <c r="R39" s="90" t="s">
        <v>149</v>
      </c>
      <c r="S39" s="176"/>
      <c r="T39" s="231">
        <f>+PST!J170</f>
        <v>25304</v>
      </c>
      <c r="U39" s="790"/>
    </row>
    <row r="40" spans="1:23" ht="93.75" customHeight="1" x14ac:dyDescent="0.2">
      <c r="A40" s="787"/>
      <c r="B40" s="792"/>
      <c r="C40" s="797"/>
      <c r="D40" s="135" t="s">
        <v>420</v>
      </c>
      <c r="E40" s="91" t="s">
        <v>32</v>
      </c>
      <c r="F40" s="91" t="s">
        <v>32</v>
      </c>
      <c r="G40" s="91" t="s">
        <v>32</v>
      </c>
      <c r="H40" s="91" t="s">
        <v>32</v>
      </c>
      <c r="I40" s="91" t="s">
        <v>32</v>
      </c>
      <c r="J40" s="91" t="s">
        <v>32</v>
      </c>
      <c r="K40" s="91" t="s">
        <v>32</v>
      </c>
      <c r="L40" s="91" t="s">
        <v>32</v>
      </c>
      <c r="M40" s="91" t="s">
        <v>32</v>
      </c>
      <c r="N40" s="91" t="s">
        <v>32</v>
      </c>
      <c r="O40" s="91" t="s">
        <v>32</v>
      </c>
      <c r="P40" s="91" t="s">
        <v>32</v>
      </c>
      <c r="Q40" s="108" t="s">
        <v>183</v>
      </c>
      <c r="R40" s="90" t="s">
        <v>149</v>
      </c>
      <c r="S40" s="176"/>
      <c r="T40" s="231">
        <f>+PST!J176</f>
        <v>2611757</v>
      </c>
      <c r="U40" s="790"/>
    </row>
    <row r="41" spans="1:23" ht="182.25" customHeight="1" x14ac:dyDescent="0.2">
      <c r="A41" s="90">
        <v>1.8</v>
      </c>
      <c r="B41" s="90" t="s">
        <v>421</v>
      </c>
      <c r="C41" s="91" t="s">
        <v>31</v>
      </c>
      <c r="D41" s="133" t="s">
        <v>422</v>
      </c>
      <c r="E41" s="91"/>
      <c r="F41" s="91" t="s">
        <v>32</v>
      </c>
      <c r="G41" s="91"/>
      <c r="H41" s="91" t="s">
        <v>32</v>
      </c>
      <c r="I41" s="91"/>
      <c r="J41" s="91"/>
      <c r="K41" s="91"/>
      <c r="L41" s="91" t="s">
        <v>32</v>
      </c>
      <c r="M41" s="91" t="s">
        <v>32</v>
      </c>
      <c r="N41" s="91" t="s">
        <v>32</v>
      </c>
      <c r="O41" s="91" t="s">
        <v>32</v>
      </c>
      <c r="P41" s="91"/>
      <c r="Q41" s="108" t="s">
        <v>183</v>
      </c>
      <c r="R41" s="90" t="s">
        <v>35</v>
      </c>
      <c r="S41" s="92"/>
      <c r="T41" s="234">
        <f>+PST!J208</f>
        <v>11139</v>
      </c>
      <c r="U41" s="235">
        <f>SUM(T41)</f>
        <v>11139</v>
      </c>
      <c r="W41" s="51"/>
    </row>
    <row r="42" spans="1:23" ht="137.25" customHeight="1" x14ac:dyDescent="0.2">
      <c r="A42" s="725">
        <v>1.9</v>
      </c>
      <c r="B42" s="90" t="s">
        <v>423</v>
      </c>
      <c r="C42" s="91" t="s">
        <v>31</v>
      </c>
      <c r="D42" s="135" t="s">
        <v>424</v>
      </c>
      <c r="E42" s="91" t="s">
        <v>146</v>
      </c>
      <c r="F42" s="91" t="s">
        <v>146</v>
      </c>
      <c r="G42" s="91" t="s">
        <v>146</v>
      </c>
      <c r="H42" s="91" t="s">
        <v>146</v>
      </c>
      <c r="I42" s="91" t="s">
        <v>146</v>
      </c>
      <c r="J42" s="91" t="s">
        <v>146</v>
      </c>
      <c r="K42" s="91" t="s">
        <v>146</v>
      </c>
      <c r="L42" s="91" t="s">
        <v>146</v>
      </c>
      <c r="M42" s="91" t="s">
        <v>146</v>
      </c>
      <c r="N42" s="91" t="s">
        <v>146</v>
      </c>
      <c r="O42" s="91" t="s">
        <v>146</v>
      </c>
      <c r="P42" s="91" t="s">
        <v>146</v>
      </c>
      <c r="Q42" s="108" t="s">
        <v>488</v>
      </c>
      <c r="R42" s="90" t="s">
        <v>173</v>
      </c>
      <c r="S42" s="92"/>
      <c r="T42" s="172">
        <f>+PST!J214</f>
        <v>9302</v>
      </c>
      <c r="U42" s="235">
        <f>SUM(T42)</f>
        <v>9302</v>
      </c>
    </row>
    <row r="43" spans="1:23" s="64" customFormat="1" ht="26.25" customHeight="1" x14ac:dyDescent="0.2">
      <c r="A43" s="748" t="s">
        <v>112</v>
      </c>
      <c r="B43" s="749"/>
      <c r="C43" s="749"/>
      <c r="D43" s="749"/>
      <c r="E43" s="749"/>
      <c r="F43" s="749"/>
      <c r="G43" s="749"/>
      <c r="H43" s="749"/>
      <c r="I43" s="749"/>
      <c r="J43" s="749"/>
      <c r="K43" s="749"/>
      <c r="L43" s="749"/>
      <c r="M43" s="749"/>
      <c r="N43" s="749"/>
      <c r="O43" s="749"/>
      <c r="P43" s="749"/>
      <c r="Q43" s="749"/>
      <c r="R43" s="749"/>
      <c r="S43" s="749"/>
      <c r="T43" s="750"/>
      <c r="U43" s="177">
        <f>SUM(U33:U42)</f>
        <v>2994147</v>
      </c>
    </row>
    <row r="44" spans="1:23" s="64" customFormat="1" ht="26.25" customHeight="1" x14ac:dyDescent="0.2">
      <c r="A44" s="748" t="s">
        <v>113</v>
      </c>
      <c r="B44" s="749"/>
      <c r="C44" s="749"/>
      <c r="D44" s="749"/>
      <c r="E44" s="749"/>
      <c r="F44" s="749"/>
      <c r="G44" s="749"/>
      <c r="H44" s="749"/>
      <c r="I44" s="749"/>
      <c r="J44" s="749"/>
      <c r="K44" s="749"/>
      <c r="L44" s="749"/>
      <c r="M44" s="749"/>
      <c r="N44" s="749"/>
      <c r="O44" s="749"/>
      <c r="P44" s="749"/>
      <c r="Q44" s="749"/>
      <c r="R44" s="749"/>
      <c r="S44" s="749"/>
      <c r="T44" s="750"/>
      <c r="U44" s="177">
        <f>U43+U23</f>
        <v>3823973</v>
      </c>
    </row>
  </sheetData>
  <mergeCells count="46">
    <mergeCell ref="A34:A36"/>
    <mergeCell ref="U37:U40"/>
    <mergeCell ref="B37:B40"/>
    <mergeCell ref="B34:B36"/>
    <mergeCell ref="A30:U30"/>
    <mergeCell ref="D31:D32"/>
    <mergeCell ref="E31:P31"/>
    <mergeCell ref="Q31:Q32"/>
    <mergeCell ref="C31:C32"/>
    <mergeCell ref="A37:A40"/>
    <mergeCell ref="C37:C40"/>
    <mergeCell ref="C34:C35"/>
    <mergeCell ref="S34:S35"/>
    <mergeCell ref="A31:A32"/>
    <mergeCell ref="B31:B32"/>
    <mergeCell ref="A23:T23"/>
    <mergeCell ref="U19:U20"/>
    <mergeCell ref="A11:A16"/>
    <mergeCell ref="B19:B20"/>
    <mergeCell ref="A19:A20"/>
    <mergeCell ref="B11:B16"/>
    <mergeCell ref="U17:U18"/>
    <mergeCell ref="A1:U1"/>
    <mergeCell ref="A2:U2"/>
    <mergeCell ref="A3:U3"/>
    <mergeCell ref="A9:A10"/>
    <mergeCell ref="E9:P9"/>
    <mergeCell ref="A8:U8"/>
    <mergeCell ref="C9:C10"/>
    <mergeCell ref="D9:D10"/>
    <mergeCell ref="A44:T44"/>
    <mergeCell ref="A43:T43"/>
    <mergeCell ref="S9:U9"/>
    <mergeCell ref="Q9:Q10"/>
    <mergeCell ref="R9:R10"/>
    <mergeCell ref="R31:R32"/>
    <mergeCell ref="B9:B10"/>
    <mergeCell ref="A17:A18"/>
    <mergeCell ref="U21:U22"/>
    <mergeCell ref="S17:S18"/>
    <mergeCell ref="A21:A22"/>
    <mergeCell ref="S31:U31"/>
    <mergeCell ref="B21:B22"/>
    <mergeCell ref="B17:B18"/>
    <mergeCell ref="U34:U36"/>
    <mergeCell ref="U11:U16"/>
  </mergeCells>
  <phoneticPr fontId="0" type="noConversion"/>
  <printOptions horizontalCentered="1"/>
  <pageMargins left="0.39370078740157483" right="0.78740157480314965" top="0.59055118110236227" bottom="0.19685039370078741" header="0" footer="0"/>
  <pageSetup scale="6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1"/>
  <sheetViews>
    <sheetView topLeftCell="A9" zoomScale="115" zoomScaleNormal="115" workbookViewId="0">
      <selection activeCell="B13" sqref="B13"/>
    </sheetView>
  </sheetViews>
  <sheetFormatPr baseColWidth="10" defaultColWidth="11.42578125" defaultRowHeight="12.75" x14ac:dyDescent="0.2"/>
  <cols>
    <col min="1" max="1" width="5.85546875" style="8" customWidth="1"/>
    <col min="2" max="2" width="19.85546875" style="8" customWidth="1"/>
    <col min="3" max="3" width="11.42578125" style="8"/>
    <col min="4" max="4" width="18.42578125" style="8" customWidth="1"/>
    <col min="5" max="5" width="2.28515625" style="8" bestFit="1" customWidth="1"/>
    <col min="6" max="6" width="2.140625" style="8" bestFit="1" customWidth="1"/>
    <col min="7" max="7" width="2.42578125" style="8" bestFit="1" customWidth="1"/>
    <col min="8" max="8" width="2.28515625" style="8" bestFit="1" customWidth="1"/>
    <col min="9" max="9" width="2.42578125" style="8" bestFit="1" customWidth="1"/>
    <col min="10" max="11" width="2.42578125" style="8" customWidth="1"/>
    <col min="12" max="13" width="2.28515625" style="8" bestFit="1" customWidth="1"/>
    <col min="14" max="14" width="2.42578125" style="8" bestFit="1" customWidth="1"/>
    <col min="15" max="16" width="2.28515625" style="8" bestFit="1" customWidth="1"/>
    <col min="17" max="18" width="15.42578125" style="8" customWidth="1"/>
    <col min="19" max="19" width="10" style="8" customWidth="1"/>
    <col min="20" max="20" width="18" style="164" bestFit="1" customWidth="1"/>
    <col min="21" max="21" width="18" style="8" bestFit="1" customWidth="1"/>
    <col min="22" max="16384" width="11.42578125" style="8"/>
  </cols>
  <sheetData>
    <row r="1" spans="1:21" s="57" customFormat="1" ht="18" x14ac:dyDescent="0.25">
      <c r="A1" s="769" t="s">
        <v>15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</row>
    <row r="2" spans="1:21" s="57" customFormat="1" ht="15.75" x14ac:dyDescent="0.25">
      <c r="A2" s="811" t="s">
        <v>491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</row>
    <row r="3" spans="1:21" s="57" customFormat="1" ht="15.75" customHeight="1" x14ac:dyDescent="0.25">
      <c r="A3" s="812" t="s">
        <v>33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</row>
    <row r="4" spans="1:21" s="57" customFormat="1" ht="12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162"/>
      <c r="U4" s="5"/>
    </row>
    <row r="5" spans="1:21" s="13" customFormat="1" ht="15.75" x14ac:dyDescent="0.25">
      <c r="A5" s="95" t="s">
        <v>133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162"/>
      <c r="U5" s="95"/>
    </row>
    <row r="6" spans="1:21" s="13" customFormat="1" ht="15.75" x14ac:dyDescent="0.25">
      <c r="A6" s="95" t="s">
        <v>138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162"/>
      <c r="U6" s="95"/>
    </row>
    <row r="7" spans="1:21" ht="15.75" x14ac:dyDescent="0.25">
      <c r="A7" s="288" t="s">
        <v>139</v>
      </c>
      <c r="B7" s="288"/>
      <c r="C7" s="288"/>
      <c r="D7" s="288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163"/>
      <c r="U7" s="97"/>
    </row>
    <row r="8" spans="1:21" ht="33" customHeight="1" x14ac:dyDescent="0.25">
      <c r="A8" s="796" t="s">
        <v>410</v>
      </c>
      <c r="B8" s="796"/>
      <c r="C8" s="796"/>
      <c r="D8" s="796"/>
      <c r="E8" s="796"/>
      <c r="F8" s="796"/>
      <c r="G8" s="796"/>
      <c r="H8" s="796"/>
      <c r="I8" s="796"/>
      <c r="J8" s="796"/>
      <c r="K8" s="796"/>
      <c r="L8" s="796"/>
      <c r="M8" s="796"/>
      <c r="N8" s="796"/>
      <c r="O8" s="796"/>
      <c r="P8" s="796"/>
      <c r="Q8" s="796"/>
      <c r="R8" s="796"/>
      <c r="S8" s="796"/>
      <c r="T8" s="796"/>
      <c r="U8" s="796"/>
    </row>
    <row r="9" spans="1:21" ht="16.5" thickBot="1" x14ac:dyDescent="0.2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163"/>
      <c r="U9" s="97"/>
    </row>
    <row r="10" spans="1:21" s="3" customFormat="1" x14ac:dyDescent="0.2">
      <c r="A10" s="813" t="s">
        <v>14</v>
      </c>
      <c r="B10" s="815" t="s">
        <v>315</v>
      </c>
      <c r="C10" s="807" t="s">
        <v>16</v>
      </c>
      <c r="D10" s="753" t="s">
        <v>0</v>
      </c>
      <c r="E10" s="753" t="s">
        <v>17</v>
      </c>
      <c r="F10" s="753"/>
      <c r="G10" s="753"/>
      <c r="H10" s="753"/>
      <c r="I10" s="753"/>
      <c r="J10" s="753"/>
      <c r="K10" s="753"/>
      <c r="L10" s="753"/>
      <c r="M10" s="753"/>
      <c r="N10" s="753"/>
      <c r="O10" s="753"/>
      <c r="P10" s="753"/>
      <c r="Q10" s="753" t="s">
        <v>10</v>
      </c>
      <c r="R10" s="753" t="s">
        <v>11</v>
      </c>
      <c r="S10" s="803" t="s">
        <v>12</v>
      </c>
      <c r="T10" s="803"/>
      <c r="U10" s="804"/>
    </row>
    <row r="11" spans="1:21" ht="39" thickBot="1" x14ac:dyDescent="0.25">
      <c r="A11" s="814"/>
      <c r="B11" s="816"/>
      <c r="C11" s="808"/>
      <c r="D11" s="754"/>
      <c r="E11" s="88" t="s">
        <v>1</v>
      </c>
      <c r="F11" s="88" t="s">
        <v>2</v>
      </c>
      <c r="G11" s="88" t="s">
        <v>3</v>
      </c>
      <c r="H11" s="88" t="s">
        <v>4</v>
      </c>
      <c r="I11" s="88" t="s">
        <v>3</v>
      </c>
      <c r="J11" s="88" t="s">
        <v>5</v>
      </c>
      <c r="K11" s="88" t="s">
        <v>5</v>
      </c>
      <c r="L11" s="88" t="s">
        <v>4</v>
      </c>
      <c r="M11" s="88" t="s">
        <v>6</v>
      </c>
      <c r="N11" s="88" t="s">
        <v>7</v>
      </c>
      <c r="O11" s="88" t="s">
        <v>8</v>
      </c>
      <c r="P11" s="88" t="s">
        <v>9</v>
      </c>
      <c r="Q11" s="754"/>
      <c r="R11" s="754"/>
      <c r="S11" s="105" t="s">
        <v>29</v>
      </c>
      <c r="T11" s="158" t="s">
        <v>18</v>
      </c>
      <c r="U11" s="106" t="s">
        <v>13</v>
      </c>
    </row>
    <row r="12" spans="1:21" ht="128.25" customHeight="1" x14ac:dyDescent="0.2">
      <c r="A12" s="275">
        <v>2.1</v>
      </c>
      <c r="B12" s="723" t="s">
        <v>425</v>
      </c>
      <c r="C12" s="279" t="s">
        <v>123</v>
      </c>
      <c r="D12" s="739" t="s">
        <v>404</v>
      </c>
      <c r="E12" s="279" t="s">
        <v>32</v>
      </c>
      <c r="F12" s="279" t="s">
        <v>32</v>
      </c>
      <c r="G12" s="279" t="s">
        <v>32</v>
      </c>
      <c r="H12" s="189" t="s">
        <v>32</v>
      </c>
      <c r="I12" s="189" t="s">
        <v>32</v>
      </c>
      <c r="J12" s="189" t="s">
        <v>32</v>
      </c>
      <c r="K12" s="189" t="s">
        <v>32</v>
      </c>
      <c r="L12" s="189" t="s">
        <v>32</v>
      </c>
      <c r="M12" s="189" t="s">
        <v>32</v>
      </c>
      <c r="N12" s="189" t="s">
        <v>32</v>
      </c>
      <c r="O12" s="189" t="s">
        <v>32</v>
      </c>
      <c r="P12" s="189" t="s">
        <v>32</v>
      </c>
      <c r="Q12" s="284" t="s">
        <v>34</v>
      </c>
      <c r="R12" s="284" t="s">
        <v>386</v>
      </c>
      <c r="S12" s="280"/>
      <c r="T12" s="236">
        <f>PST!J223</f>
        <v>13265</v>
      </c>
      <c r="U12" s="238">
        <f>+T12</f>
        <v>13265</v>
      </c>
    </row>
    <row r="13" spans="1:21" ht="91.5" customHeight="1" x14ac:dyDescent="0.2">
      <c r="A13" s="274">
        <v>2.2000000000000002</v>
      </c>
      <c r="B13" s="958" t="s">
        <v>426</v>
      </c>
      <c r="C13" s="276" t="s">
        <v>31</v>
      </c>
      <c r="D13" s="166" t="s">
        <v>405</v>
      </c>
      <c r="E13" s="276" t="s">
        <v>146</v>
      </c>
      <c r="F13" s="276" t="s">
        <v>146</v>
      </c>
      <c r="G13" s="276" t="s">
        <v>146</v>
      </c>
      <c r="H13" s="276" t="s">
        <v>146</v>
      </c>
      <c r="I13" s="276" t="s">
        <v>146</v>
      </c>
      <c r="J13" s="276" t="s">
        <v>146</v>
      </c>
      <c r="K13" s="276" t="s">
        <v>146</v>
      </c>
      <c r="L13" s="276" t="s">
        <v>146</v>
      </c>
      <c r="M13" s="276" t="s">
        <v>146</v>
      </c>
      <c r="N13" s="276" t="s">
        <v>146</v>
      </c>
      <c r="O13" s="276" t="s">
        <v>146</v>
      </c>
      <c r="P13" s="276" t="s">
        <v>146</v>
      </c>
      <c r="Q13" s="169" t="s">
        <v>177</v>
      </c>
      <c r="R13" s="169" t="s">
        <v>152</v>
      </c>
      <c r="S13" s="281"/>
      <c r="T13" s="236">
        <f>PST!J228</f>
        <v>101550</v>
      </c>
      <c r="U13" s="239">
        <f>+T13</f>
        <v>101550</v>
      </c>
    </row>
    <row r="14" spans="1:21" ht="120.75" customHeight="1" x14ac:dyDescent="0.2">
      <c r="A14" s="802">
        <v>2.2999999999999998</v>
      </c>
      <c r="B14" s="805" t="s">
        <v>427</v>
      </c>
      <c r="C14" s="607" t="s">
        <v>258</v>
      </c>
      <c r="D14" s="959" t="s">
        <v>489</v>
      </c>
      <c r="E14" s="608" t="s">
        <v>32</v>
      </c>
      <c r="F14" s="608" t="s">
        <v>32</v>
      </c>
      <c r="G14" s="608" t="s">
        <v>32</v>
      </c>
      <c r="H14" s="608" t="s">
        <v>32</v>
      </c>
      <c r="I14" s="608" t="s">
        <v>32</v>
      </c>
      <c r="J14" s="608" t="s">
        <v>32</v>
      </c>
      <c r="K14" s="608" t="s">
        <v>32</v>
      </c>
      <c r="L14" s="608" t="s">
        <v>32</v>
      </c>
      <c r="M14" s="608" t="s">
        <v>32</v>
      </c>
      <c r="N14" s="608" t="s">
        <v>32</v>
      </c>
      <c r="O14" s="608" t="s">
        <v>32</v>
      </c>
      <c r="P14" s="608" t="s">
        <v>32</v>
      </c>
      <c r="Q14" s="286" t="s">
        <v>177</v>
      </c>
      <c r="R14" s="609" t="s">
        <v>51</v>
      </c>
      <c r="S14" s="610"/>
      <c r="T14" s="611">
        <f>PST!J233</f>
        <v>173389.5</v>
      </c>
      <c r="U14" s="809">
        <f>SUM(T14:T15)</f>
        <v>177604.5</v>
      </c>
    </row>
    <row r="15" spans="1:21" ht="51" x14ac:dyDescent="0.2">
      <c r="A15" s="779"/>
      <c r="B15" s="806"/>
      <c r="C15" s="190" t="s">
        <v>124</v>
      </c>
      <c r="D15" s="724" t="s">
        <v>406</v>
      </c>
      <c r="E15" s="259" t="s">
        <v>32</v>
      </c>
      <c r="F15" s="259" t="s">
        <v>32</v>
      </c>
      <c r="G15" s="259" t="s">
        <v>32</v>
      </c>
      <c r="H15" s="259" t="s">
        <v>32</v>
      </c>
      <c r="I15" s="259" t="s">
        <v>32</v>
      </c>
      <c r="J15" s="259" t="s">
        <v>32</v>
      </c>
      <c r="K15" s="259" t="s">
        <v>32</v>
      </c>
      <c r="L15" s="259" t="s">
        <v>32</v>
      </c>
      <c r="M15" s="259" t="s">
        <v>32</v>
      </c>
      <c r="N15" s="259" t="s">
        <v>32</v>
      </c>
      <c r="O15" s="259" t="s">
        <v>32</v>
      </c>
      <c r="P15" s="259" t="s">
        <v>32</v>
      </c>
      <c r="Q15" s="169" t="s">
        <v>177</v>
      </c>
      <c r="R15" s="169" t="s">
        <v>51</v>
      </c>
      <c r="S15" s="281"/>
      <c r="T15" s="237">
        <f>PST!J238</f>
        <v>4215</v>
      </c>
      <c r="U15" s="810"/>
    </row>
    <row r="16" spans="1:21" s="64" customFormat="1" ht="26.25" customHeight="1" thickBot="1" x14ac:dyDescent="0.25">
      <c r="A16" s="774" t="s">
        <v>113</v>
      </c>
      <c r="B16" s="775"/>
      <c r="C16" s="775"/>
      <c r="D16" s="775"/>
      <c r="E16" s="775"/>
      <c r="F16" s="775"/>
      <c r="G16" s="775"/>
      <c r="H16" s="775"/>
      <c r="I16" s="775"/>
      <c r="J16" s="775"/>
      <c r="K16" s="775"/>
      <c r="L16" s="775"/>
      <c r="M16" s="775"/>
      <c r="N16" s="775"/>
      <c r="O16" s="775"/>
      <c r="P16" s="775"/>
      <c r="Q16" s="775"/>
      <c r="R16" s="775"/>
      <c r="S16" s="775"/>
      <c r="T16" s="776"/>
      <c r="U16" s="111">
        <f>SUM(U12:U15)</f>
        <v>292419.5</v>
      </c>
    </row>
    <row r="17" spans="2:20" x14ac:dyDescent="0.2">
      <c r="B17" s="7"/>
      <c r="C17" s="16"/>
      <c r="D17" s="7"/>
    </row>
    <row r="18" spans="2:20" x14ac:dyDescent="0.2">
      <c r="B18" s="7"/>
      <c r="C18" s="16"/>
      <c r="D18" s="7"/>
    </row>
    <row r="19" spans="2:20" x14ac:dyDescent="0.2">
      <c r="B19" s="7"/>
      <c r="C19" s="16"/>
      <c r="D19" s="7"/>
    </row>
    <row r="20" spans="2:20" s="16" customFormat="1" x14ac:dyDescent="0.2">
      <c r="T20" s="165"/>
    </row>
    <row r="21" spans="2:20" s="16" customFormat="1" x14ac:dyDescent="0.2">
      <c r="T21" s="165"/>
    </row>
    <row r="22" spans="2:20" s="16" customFormat="1" x14ac:dyDescent="0.2">
      <c r="T22" s="165"/>
    </row>
    <row r="23" spans="2:20" s="16" customFormat="1" x14ac:dyDescent="0.2">
      <c r="T23" s="165"/>
    </row>
    <row r="24" spans="2:20" s="16" customFormat="1" x14ac:dyDescent="0.2">
      <c r="T24" s="165"/>
    </row>
    <row r="25" spans="2:20" s="16" customFormat="1" x14ac:dyDescent="0.2">
      <c r="T25" s="165"/>
    </row>
    <row r="26" spans="2:20" s="16" customFormat="1" x14ac:dyDescent="0.2">
      <c r="T26" s="165"/>
    </row>
    <row r="27" spans="2:20" s="16" customFormat="1" x14ac:dyDescent="0.2">
      <c r="T27" s="165"/>
    </row>
    <row r="28" spans="2:20" s="16" customFormat="1" x14ac:dyDescent="0.2">
      <c r="C28" s="8"/>
      <c r="T28" s="165"/>
    </row>
    <row r="29" spans="2:20" s="16" customFormat="1" x14ac:dyDescent="0.2">
      <c r="C29" s="8"/>
      <c r="T29" s="165"/>
    </row>
    <row r="30" spans="2:20" s="16" customFormat="1" x14ac:dyDescent="0.2">
      <c r="C30" s="8"/>
      <c r="T30" s="165"/>
    </row>
    <row r="31" spans="2:20" s="16" customFormat="1" x14ac:dyDescent="0.2">
      <c r="C31" s="8"/>
      <c r="T31" s="165"/>
    </row>
  </sheetData>
  <mergeCells count="16">
    <mergeCell ref="A1:U1"/>
    <mergeCell ref="A2:U2"/>
    <mergeCell ref="A3:U3"/>
    <mergeCell ref="A8:U8"/>
    <mergeCell ref="A10:A11"/>
    <mergeCell ref="B10:B11"/>
    <mergeCell ref="R10:R11"/>
    <mergeCell ref="E10:P10"/>
    <mergeCell ref="Q10:Q11"/>
    <mergeCell ref="A14:A15"/>
    <mergeCell ref="A16:T16"/>
    <mergeCell ref="S10:U10"/>
    <mergeCell ref="B14:B15"/>
    <mergeCell ref="C10:C11"/>
    <mergeCell ref="D10:D11"/>
    <mergeCell ref="U14:U15"/>
  </mergeCells>
  <phoneticPr fontId="12" type="noConversion"/>
  <printOptions horizontalCentered="1"/>
  <pageMargins left="0.39370078740157483" right="0.39370078740157483" top="0.39370078740157483" bottom="0.39370078740157483" header="0" footer="0"/>
  <pageSetup scale="76" fitToHeight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opLeftCell="A12" zoomScaleNormal="100" workbookViewId="0">
      <selection activeCell="D12" sqref="D12"/>
    </sheetView>
  </sheetViews>
  <sheetFormatPr baseColWidth="10" defaultColWidth="11.42578125" defaultRowHeight="12.75" x14ac:dyDescent="0.2"/>
  <cols>
    <col min="1" max="1" width="6.7109375" style="8" customWidth="1"/>
    <col min="2" max="2" width="23.28515625" style="6" customWidth="1"/>
    <col min="3" max="3" width="14.28515625" style="7" customWidth="1"/>
    <col min="4" max="4" width="16" style="7" customWidth="1"/>
    <col min="5" max="16" width="2.42578125" style="7" customWidth="1"/>
    <col min="17" max="17" width="15.7109375" style="8" customWidth="1"/>
    <col min="18" max="18" width="15.42578125" style="7" customWidth="1"/>
    <col min="19" max="19" width="8.42578125" style="8" customWidth="1"/>
    <col min="20" max="20" width="14.28515625" style="161" bestFit="1" customWidth="1"/>
    <col min="21" max="21" width="19.140625" style="8" customWidth="1"/>
    <col min="22" max="16384" width="11.42578125" style="8"/>
  </cols>
  <sheetData>
    <row r="1" spans="1:21" s="57" customFormat="1" ht="18" x14ac:dyDescent="0.25">
      <c r="A1" s="769" t="s">
        <v>19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</row>
    <row r="2" spans="1:21" s="57" customFormat="1" ht="18" x14ac:dyDescent="0.25">
      <c r="A2" s="769" t="str">
        <f>PC!A2</f>
        <v>PLAN OPERATIVO ANUAL 2021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</row>
    <row r="3" spans="1:21" s="57" customFormat="1" ht="15.75" customHeight="1" x14ac:dyDescent="0.25">
      <c r="A3" s="769" t="str">
        <f>PC!A3</f>
        <v>PARQUE NACIONAL SIERRA DEL LACANDÓN, RESERVA DE BIOSFERA MAYA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  <c r="S3" s="769"/>
      <c r="T3" s="769"/>
      <c r="U3" s="769"/>
    </row>
    <row r="4" spans="1:21" s="13" customFormat="1" ht="18" x14ac:dyDescent="0.25">
      <c r="A4" s="222" t="str">
        <f>MR!A27</f>
        <v>1. Linea de acción: Conservacion del area protegida y su biodiversidad</v>
      </c>
      <c r="B4" s="222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19"/>
      <c r="T4" s="224"/>
      <c r="U4" s="219"/>
    </row>
    <row r="5" spans="1:21" s="13" customFormat="1" ht="18" x14ac:dyDescent="0.2">
      <c r="A5" s="817" t="s">
        <v>241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  <c r="U5" s="817"/>
    </row>
    <row r="6" spans="1:21" s="13" customFormat="1" ht="18" x14ac:dyDescent="0.2">
      <c r="A6" s="817" t="s">
        <v>242</v>
      </c>
      <c r="B6" s="817"/>
      <c r="C6" s="817"/>
      <c r="D6" s="817"/>
      <c r="E6" s="817"/>
      <c r="F6" s="817"/>
      <c r="G6" s="817"/>
      <c r="H6" s="817"/>
      <c r="I6" s="817"/>
      <c r="J6" s="817"/>
      <c r="K6" s="817"/>
      <c r="L6" s="817"/>
      <c r="M6" s="817"/>
      <c r="N6" s="817"/>
      <c r="O6" s="817"/>
      <c r="P6" s="817"/>
      <c r="Q6" s="817"/>
      <c r="R6" s="817"/>
      <c r="S6" s="817"/>
      <c r="T6" s="817"/>
      <c r="U6" s="817"/>
    </row>
    <row r="7" spans="1:21" s="13" customFormat="1" ht="33" customHeight="1" x14ac:dyDescent="0.2">
      <c r="A7" s="818" t="s">
        <v>411</v>
      </c>
      <c r="B7" s="818"/>
      <c r="C7" s="818"/>
      <c r="D7" s="818"/>
      <c r="E7" s="818"/>
      <c r="F7" s="818"/>
      <c r="G7" s="818"/>
      <c r="H7" s="818"/>
      <c r="I7" s="818"/>
      <c r="J7" s="818"/>
      <c r="K7" s="818"/>
      <c r="L7" s="818"/>
      <c r="M7" s="818"/>
      <c r="N7" s="818"/>
      <c r="O7" s="818"/>
      <c r="P7" s="818"/>
      <c r="Q7" s="818"/>
      <c r="R7" s="818"/>
      <c r="S7" s="818"/>
      <c r="T7" s="818"/>
      <c r="U7" s="818"/>
    </row>
    <row r="8" spans="1:21" s="13" customFormat="1" ht="13.5" thickBot="1" x14ac:dyDescent="0.25">
      <c r="B8" s="58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R8" s="59"/>
      <c r="T8" s="156"/>
    </row>
    <row r="9" spans="1:21" s="3" customFormat="1" x14ac:dyDescent="0.2">
      <c r="A9" s="770" t="s">
        <v>14</v>
      </c>
      <c r="B9" s="753" t="s">
        <v>315</v>
      </c>
      <c r="C9" s="753" t="s">
        <v>20</v>
      </c>
      <c r="D9" s="753" t="s">
        <v>0</v>
      </c>
      <c r="E9" s="772" t="s">
        <v>17</v>
      </c>
      <c r="F9" s="772"/>
      <c r="G9" s="772"/>
      <c r="H9" s="772"/>
      <c r="I9" s="772"/>
      <c r="J9" s="772"/>
      <c r="K9" s="772"/>
      <c r="L9" s="772"/>
      <c r="M9" s="772"/>
      <c r="N9" s="772"/>
      <c r="O9" s="772"/>
      <c r="P9" s="772"/>
      <c r="Q9" s="753" t="s">
        <v>10</v>
      </c>
      <c r="R9" s="753" t="s">
        <v>11</v>
      </c>
      <c r="S9" s="751" t="s">
        <v>12</v>
      </c>
      <c r="T9" s="751"/>
      <c r="U9" s="752"/>
    </row>
    <row r="10" spans="1:21" ht="13.5" customHeight="1" thickBot="1" x14ac:dyDescent="0.25">
      <c r="A10" s="771"/>
      <c r="B10" s="754"/>
      <c r="C10" s="754"/>
      <c r="D10" s="754"/>
      <c r="E10" s="66" t="s">
        <v>1</v>
      </c>
      <c r="F10" s="66" t="s">
        <v>2</v>
      </c>
      <c r="G10" s="66" t="s">
        <v>3</v>
      </c>
      <c r="H10" s="66" t="s">
        <v>4</v>
      </c>
      <c r="I10" s="66" t="s">
        <v>3</v>
      </c>
      <c r="J10" s="66" t="s">
        <v>5</v>
      </c>
      <c r="K10" s="66" t="s">
        <v>5</v>
      </c>
      <c r="L10" s="66" t="s">
        <v>4</v>
      </c>
      <c r="M10" s="66" t="s">
        <v>6</v>
      </c>
      <c r="N10" s="66" t="s">
        <v>7</v>
      </c>
      <c r="O10" s="66" t="s">
        <v>8</v>
      </c>
      <c r="P10" s="66" t="s">
        <v>9</v>
      </c>
      <c r="Q10" s="754"/>
      <c r="R10" s="754"/>
      <c r="S10" s="67" t="s">
        <v>21</v>
      </c>
      <c r="T10" s="157" t="s">
        <v>18</v>
      </c>
      <c r="U10" s="68" t="s">
        <v>13</v>
      </c>
    </row>
    <row r="11" spans="1:21" ht="78" customHeight="1" x14ac:dyDescent="0.2">
      <c r="A11" s="132">
        <v>3.1</v>
      </c>
      <c r="B11" s="217" t="s">
        <v>428</v>
      </c>
      <c r="C11" s="960" t="s">
        <v>31</v>
      </c>
      <c r="D11" s="961" t="s">
        <v>260</v>
      </c>
      <c r="E11" s="962"/>
      <c r="F11" s="962" t="s">
        <v>146</v>
      </c>
      <c r="G11" s="962" t="s">
        <v>146</v>
      </c>
      <c r="H11" s="962" t="s">
        <v>146</v>
      </c>
      <c r="I11" s="962"/>
      <c r="J11" s="962"/>
      <c r="K11" s="962"/>
      <c r="L11" s="962"/>
      <c r="M11" s="962"/>
      <c r="N11" s="962"/>
      <c r="O11" s="962"/>
      <c r="P11" s="962"/>
      <c r="Q11" s="34" t="s">
        <v>327</v>
      </c>
      <c r="R11" s="34" t="s">
        <v>328</v>
      </c>
      <c r="S11" s="129"/>
      <c r="T11" s="216">
        <f>+PST!J243</f>
        <v>8035</v>
      </c>
      <c r="U11" s="819">
        <f>SUM(T11:T12)</f>
        <v>302413</v>
      </c>
    </row>
    <row r="12" spans="1:21" ht="128.25" customHeight="1" x14ac:dyDescent="0.2">
      <c r="A12" s="102">
        <v>3.4</v>
      </c>
      <c r="B12" s="963" t="s">
        <v>429</v>
      </c>
      <c r="C12" s="964" t="s">
        <v>31</v>
      </c>
      <c r="D12" s="333" t="s">
        <v>262</v>
      </c>
      <c r="E12" s="965"/>
      <c r="F12" s="965"/>
      <c r="G12" s="965"/>
      <c r="H12" s="965"/>
      <c r="I12" s="965"/>
      <c r="J12" s="965"/>
      <c r="K12" s="965" t="s">
        <v>32</v>
      </c>
      <c r="L12" s="965" t="s">
        <v>32</v>
      </c>
      <c r="M12" s="965" t="s">
        <v>32</v>
      </c>
      <c r="N12" s="965" t="s">
        <v>32</v>
      </c>
      <c r="O12" s="965"/>
      <c r="P12" s="965"/>
      <c r="Q12" s="333" t="s">
        <v>261</v>
      </c>
      <c r="R12" s="285" t="s">
        <v>76</v>
      </c>
      <c r="S12" s="332"/>
      <c r="T12" s="334">
        <f>+PST!J247</f>
        <v>294378</v>
      </c>
      <c r="U12" s="810"/>
    </row>
    <row r="13" spans="1:21" ht="122.45" customHeight="1" x14ac:dyDescent="0.2">
      <c r="A13" s="102">
        <v>3.5</v>
      </c>
      <c r="B13" s="966" t="s">
        <v>430</v>
      </c>
      <c r="C13" s="967" t="s">
        <v>31</v>
      </c>
      <c r="D13" s="740" t="s">
        <v>305</v>
      </c>
      <c r="E13" s="968"/>
      <c r="F13" s="968"/>
      <c r="G13" s="968"/>
      <c r="H13" s="968"/>
      <c r="I13" s="968"/>
      <c r="J13" s="968"/>
      <c r="K13" s="969" t="s">
        <v>146</v>
      </c>
      <c r="L13" s="969" t="s">
        <v>146</v>
      </c>
      <c r="M13" s="969" t="s">
        <v>146</v>
      </c>
      <c r="N13" s="969" t="s">
        <v>146</v>
      </c>
      <c r="O13" s="969" t="s">
        <v>146</v>
      </c>
      <c r="P13" s="969" t="s">
        <v>146</v>
      </c>
      <c r="Q13" s="34" t="s">
        <v>322</v>
      </c>
      <c r="R13" s="970" t="s">
        <v>306</v>
      </c>
      <c r="S13" s="87"/>
      <c r="T13" s="158">
        <f>+PST!J256</f>
        <v>133506</v>
      </c>
      <c r="U13" s="601">
        <f>T13</f>
        <v>133506</v>
      </c>
    </row>
    <row r="14" spans="1:21" ht="64.5" customHeight="1" x14ac:dyDescent="0.2">
      <c r="A14" s="265">
        <v>3.6</v>
      </c>
      <c r="B14" s="971" t="s">
        <v>431</v>
      </c>
      <c r="C14" s="972" t="s">
        <v>31</v>
      </c>
      <c r="D14" s="21" t="s">
        <v>496</v>
      </c>
      <c r="E14" s="747"/>
      <c r="F14" s="747"/>
      <c r="G14" s="747"/>
      <c r="H14" s="973"/>
      <c r="I14" s="973" t="s">
        <v>32</v>
      </c>
      <c r="J14" s="973" t="s">
        <v>32</v>
      </c>
      <c r="K14" s="747"/>
      <c r="L14" s="747"/>
      <c r="M14" s="747"/>
      <c r="N14" s="973" t="s">
        <v>32</v>
      </c>
      <c r="O14" s="973" t="s">
        <v>32</v>
      </c>
      <c r="P14" s="747"/>
      <c r="Q14" s="34" t="s">
        <v>322</v>
      </c>
      <c r="R14" s="180" t="s">
        <v>76</v>
      </c>
      <c r="S14" s="41"/>
      <c r="T14" s="236">
        <f>+PST!J264</f>
        <v>10110</v>
      </c>
      <c r="U14" s="236">
        <f>T14</f>
        <v>10110</v>
      </c>
    </row>
    <row r="15" spans="1:21" s="64" customFormat="1" ht="26.25" customHeight="1" thickBot="1" x14ac:dyDescent="0.25">
      <c r="A15" s="774" t="s">
        <v>113</v>
      </c>
      <c r="B15" s="775"/>
      <c r="C15" s="775"/>
      <c r="D15" s="775"/>
      <c r="E15" s="775"/>
      <c r="F15" s="775"/>
      <c r="G15" s="775"/>
      <c r="H15" s="775"/>
      <c r="I15" s="775"/>
      <c r="J15" s="775"/>
      <c r="K15" s="775"/>
      <c r="L15" s="775"/>
      <c r="M15" s="775"/>
      <c r="N15" s="775"/>
      <c r="O15" s="775"/>
      <c r="P15" s="775"/>
      <c r="Q15" s="775"/>
      <c r="R15" s="775"/>
      <c r="S15" s="775"/>
      <c r="T15" s="776"/>
      <c r="U15" s="111">
        <f>SUM(U11:U14)</f>
        <v>446029</v>
      </c>
    </row>
    <row r="16" spans="1:21" s="13" customFormat="1" x14ac:dyDescent="0.2">
      <c r="A16" s="15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59"/>
      <c r="U16" s="10"/>
    </row>
    <row r="17" spans="1:21" s="13" customFormat="1" x14ac:dyDescent="0.2">
      <c r="A17" s="15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59"/>
      <c r="U17" s="10"/>
    </row>
    <row r="18" spans="1:21" s="13" customFormat="1" x14ac:dyDescent="0.2">
      <c r="A18" s="8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0"/>
      <c r="U18" s="10"/>
    </row>
    <row r="19" spans="1:21" s="13" customFormat="1" ht="47.25" customHeight="1" x14ac:dyDescent="0.2">
      <c r="A19" s="8"/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  <c r="R19" s="7"/>
      <c r="S19" s="8"/>
      <c r="T19" s="161"/>
      <c r="U19" s="10"/>
    </row>
    <row r="20" spans="1:21" s="13" customFormat="1" ht="62.25" customHeight="1" x14ac:dyDescent="0.2">
      <c r="A20" s="8"/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8"/>
      <c r="R20" s="7"/>
      <c r="S20" s="8"/>
      <c r="T20" s="161"/>
      <c r="U20" s="10"/>
    </row>
    <row r="21" spans="1:21" s="4" customFormat="1" ht="36" customHeight="1" x14ac:dyDescent="0.2">
      <c r="A21" s="8"/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8"/>
      <c r="R21" s="7"/>
      <c r="S21" s="8"/>
      <c r="T21" s="161"/>
      <c r="U21" s="11"/>
    </row>
    <row r="22" spans="1:21" s="13" customFormat="1" ht="36" customHeight="1" x14ac:dyDescent="0.2">
      <c r="A22" s="8"/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8"/>
      <c r="R22" s="7"/>
      <c r="S22" s="8"/>
      <c r="T22" s="161"/>
      <c r="U22" s="11"/>
    </row>
    <row r="23" spans="1:21" s="13" customFormat="1" ht="36" customHeight="1" x14ac:dyDescent="0.2">
      <c r="A23" s="8"/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  <c r="R23" s="7"/>
      <c r="S23" s="8"/>
      <c r="T23" s="161"/>
      <c r="U23" s="10"/>
    </row>
    <row r="24" spans="1:21" s="13" customFormat="1" ht="36" customHeight="1" x14ac:dyDescent="0.2">
      <c r="A24" s="8"/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  <c r="R24" s="7"/>
      <c r="S24" s="8"/>
      <c r="T24" s="161"/>
      <c r="U24" s="10"/>
    </row>
    <row r="25" spans="1:21" s="13" customFormat="1" ht="36" customHeight="1" x14ac:dyDescent="0.2">
      <c r="A25" s="8"/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8"/>
      <c r="R25" s="7"/>
      <c r="S25" s="8"/>
      <c r="T25" s="161"/>
      <c r="U25" s="10"/>
    </row>
    <row r="26" spans="1:21" x14ac:dyDescent="0.2">
      <c r="U26" s="16"/>
    </row>
  </sheetData>
  <mergeCells count="16">
    <mergeCell ref="A7:U7"/>
    <mergeCell ref="A15:T15"/>
    <mergeCell ref="E9:P9"/>
    <mergeCell ref="C9:C10"/>
    <mergeCell ref="B9:B10"/>
    <mergeCell ref="A9:A10"/>
    <mergeCell ref="D9:D10"/>
    <mergeCell ref="S9:U9"/>
    <mergeCell ref="R9:R10"/>
    <mergeCell ref="Q9:Q10"/>
    <mergeCell ref="U11:U12"/>
    <mergeCell ref="A1:U1"/>
    <mergeCell ref="A2:U2"/>
    <mergeCell ref="A3:U3"/>
    <mergeCell ref="A5:U5"/>
    <mergeCell ref="A6:U6"/>
  </mergeCells>
  <phoneticPr fontId="0" type="noConversion"/>
  <printOptions horizontalCentered="1"/>
  <pageMargins left="0.39370078740157483" right="0.78740157480314965" top="0.59055118110236227" bottom="0.19685039370078741" header="0" footer="0"/>
  <pageSetup paperSize="119" scale="77" fitToHeight="0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opLeftCell="A20" zoomScaleNormal="100" workbookViewId="0">
      <selection activeCell="Q62" sqref="Q62"/>
    </sheetView>
  </sheetViews>
  <sheetFormatPr baseColWidth="10" defaultColWidth="11.42578125" defaultRowHeight="12.75" x14ac:dyDescent="0.2"/>
  <cols>
    <col min="1" max="1" width="6.7109375" style="8" customWidth="1"/>
    <col min="2" max="2" width="23.28515625" style="6" customWidth="1"/>
    <col min="3" max="3" width="13.28515625" style="7" customWidth="1"/>
    <col min="4" max="4" width="15.42578125" style="7" customWidth="1"/>
    <col min="5" max="16" width="2.42578125" style="7" customWidth="1"/>
    <col min="17" max="17" width="15.85546875" style="8" customWidth="1"/>
    <col min="18" max="18" width="15.42578125" style="7" customWidth="1"/>
    <col min="19" max="19" width="8.42578125" style="8" customWidth="1"/>
    <col min="20" max="20" width="13.85546875" style="8" customWidth="1"/>
    <col min="21" max="21" width="23.42578125" style="8" bestFit="1" customWidth="1"/>
    <col min="22" max="16384" width="11.42578125" style="8"/>
  </cols>
  <sheetData>
    <row r="1" spans="1:21" s="57" customFormat="1" ht="18" x14ac:dyDescent="0.25">
      <c r="A1" s="769" t="s">
        <v>19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</row>
    <row r="2" spans="1:21" s="57" customFormat="1" ht="15.75" x14ac:dyDescent="0.25">
      <c r="A2" s="812" t="str">
        <f>'I&amp;M'!A2:U2</f>
        <v>PLAN OPERATIVO ANUAL 2021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</row>
    <row r="3" spans="1:21" s="57" customFormat="1" ht="15.75" customHeight="1" x14ac:dyDescent="0.25">
      <c r="A3" s="812" t="str">
        <f>'I&amp;M'!A3:U3</f>
        <v>PARQUE NACIONAL SIERRA DEL LACANDÓN, RESERVA DE BIOSFERA MAYA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</row>
    <row r="4" spans="1:21" s="38" customFormat="1" ht="15.75" x14ac:dyDescent="0.25">
      <c r="A4" s="113" t="str">
        <f>MR!A27</f>
        <v>1. Linea de acción: Conservacion del area protegida y su biodiversidad</v>
      </c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96"/>
      <c r="T4" s="96"/>
      <c r="U4" s="96"/>
    </row>
    <row r="5" spans="1:21" s="38" customFormat="1" ht="15.75" x14ac:dyDescent="0.2">
      <c r="A5" s="836" t="s">
        <v>99</v>
      </c>
      <c r="B5" s="836"/>
      <c r="C5" s="836"/>
      <c r="D5" s="836"/>
      <c r="E5" s="836"/>
      <c r="F5" s="836"/>
      <c r="G5" s="836"/>
      <c r="H5" s="836"/>
      <c r="I5" s="836"/>
      <c r="J5" s="836"/>
      <c r="K5" s="836"/>
      <c r="L5" s="836"/>
      <c r="M5" s="836"/>
      <c r="N5" s="836"/>
      <c r="O5" s="836"/>
      <c r="P5" s="836"/>
      <c r="Q5" s="836"/>
      <c r="R5" s="836"/>
      <c r="S5" s="836"/>
      <c r="T5" s="836"/>
      <c r="U5" s="836"/>
    </row>
    <row r="6" spans="1:21" s="38" customFormat="1" ht="15.75" x14ac:dyDescent="0.2">
      <c r="A6" s="837" t="s">
        <v>432</v>
      </c>
      <c r="B6" s="836"/>
      <c r="C6" s="836"/>
      <c r="D6" s="836"/>
      <c r="E6" s="836"/>
      <c r="F6" s="836"/>
      <c r="G6" s="836"/>
      <c r="H6" s="836"/>
      <c r="I6" s="836"/>
      <c r="J6" s="836"/>
      <c r="K6" s="836"/>
      <c r="L6" s="836"/>
      <c r="M6" s="836"/>
      <c r="N6" s="836"/>
      <c r="O6" s="836"/>
      <c r="P6" s="836"/>
      <c r="Q6" s="836"/>
      <c r="R6" s="836"/>
      <c r="S6" s="836"/>
      <c r="T6" s="836"/>
      <c r="U6" s="836"/>
    </row>
    <row r="7" spans="1:21" s="38" customFormat="1" ht="33.75" customHeight="1" thickBot="1" x14ac:dyDescent="0.25">
      <c r="A7" s="838" t="s">
        <v>39</v>
      </c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838"/>
      <c r="T7" s="838"/>
      <c r="U7" s="838"/>
    </row>
    <row r="8" spans="1:21" s="3" customFormat="1" ht="20.25" customHeight="1" x14ac:dyDescent="0.2">
      <c r="A8" s="770" t="s">
        <v>14</v>
      </c>
      <c r="B8" s="753" t="s">
        <v>315</v>
      </c>
      <c r="C8" s="753" t="s">
        <v>20</v>
      </c>
      <c r="D8" s="753" t="s">
        <v>0</v>
      </c>
      <c r="E8" s="772" t="s">
        <v>17</v>
      </c>
      <c r="F8" s="772"/>
      <c r="G8" s="772"/>
      <c r="H8" s="772"/>
      <c r="I8" s="772"/>
      <c r="J8" s="772"/>
      <c r="K8" s="772"/>
      <c r="L8" s="772"/>
      <c r="M8" s="772"/>
      <c r="N8" s="772"/>
      <c r="O8" s="772"/>
      <c r="P8" s="772"/>
      <c r="Q8" s="753" t="s">
        <v>10</v>
      </c>
      <c r="R8" s="753" t="s">
        <v>11</v>
      </c>
      <c r="S8" s="751" t="s">
        <v>12</v>
      </c>
      <c r="T8" s="751"/>
      <c r="U8" s="752"/>
    </row>
    <row r="9" spans="1:21" ht="16.5" customHeight="1" thickBot="1" x14ac:dyDescent="0.25">
      <c r="A9" s="771"/>
      <c r="B9" s="754"/>
      <c r="C9" s="754"/>
      <c r="D9" s="754"/>
      <c r="E9" s="66" t="s">
        <v>1</v>
      </c>
      <c r="F9" s="66" t="s">
        <v>2</v>
      </c>
      <c r="G9" s="66" t="s">
        <v>3</v>
      </c>
      <c r="H9" s="66" t="s">
        <v>4</v>
      </c>
      <c r="I9" s="66" t="s">
        <v>3</v>
      </c>
      <c r="J9" s="66" t="s">
        <v>5</v>
      </c>
      <c r="K9" s="66" t="s">
        <v>5</v>
      </c>
      <c r="L9" s="66" t="s">
        <v>4</v>
      </c>
      <c r="M9" s="66" t="s">
        <v>6</v>
      </c>
      <c r="N9" s="66" t="s">
        <v>7</v>
      </c>
      <c r="O9" s="66" t="s">
        <v>8</v>
      </c>
      <c r="P9" s="66" t="s">
        <v>9</v>
      </c>
      <c r="Q9" s="754"/>
      <c r="R9" s="754"/>
      <c r="S9" s="28" t="s">
        <v>21</v>
      </c>
      <c r="T9" s="28" t="s">
        <v>18</v>
      </c>
      <c r="U9" s="29" t="s">
        <v>13</v>
      </c>
    </row>
    <row r="10" spans="1:21" ht="84" customHeight="1" x14ac:dyDescent="0.2">
      <c r="A10" s="735">
        <v>4.0999999999999996</v>
      </c>
      <c r="B10" s="734" t="s">
        <v>433</v>
      </c>
      <c r="C10" s="47" t="s">
        <v>79</v>
      </c>
      <c r="D10" s="21" t="s">
        <v>434</v>
      </c>
      <c r="E10" s="46" t="s">
        <v>32</v>
      </c>
      <c r="F10" s="46" t="s">
        <v>32</v>
      </c>
      <c r="G10" s="46" t="s">
        <v>32</v>
      </c>
      <c r="H10" s="46" t="s">
        <v>32</v>
      </c>
      <c r="I10" s="46" t="s">
        <v>32</v>
      </c>
      <c r="J10" s="46" t="s">
        <v>32</v>
      </c>
      <c r="K10" s="46" t="s">
        <v>32</v>
      </c>
      <c r="L10" s="46" t="s">
        <v>32</v>
      </c>
      <c r="M10" s="46" t="s">
        <v>32</v>
      </c>
      <c r="N10" s="46" t="s">
        <v>32</v>
      </c>
      <c r="O10" s="46" t="s">
        <v>32</v>
      </c>
      <c r="P10" s="46" t="s">
        <v>32</v>
      </c>
      <c r="Q10" s="63" t="s">
        <v>329</v>
      </c>
      <c r="R10" s="41" t="s">
        <v>323</v>
      </c>
      <c r="S10" s="629"/>
      <c r="T10" s="241">
        <f>+PST!J270</f>
        <v>35621.597333333339</v>
      </c>
      <c r="U10" s="988">
        <f t="shared" ref="U10:U19" si="0">T10</f>
        <v>35621.597333333339</v>
      </c>
    </row>
    <row r="11" spans="1:21" ht="228" x14ac:dyDescent="0.2">
      <c r="A11" s="839">
        <v>4.0999999999999996</v>
      </c>
      <c r="B11" s="841" t="s">
        <v>444</v>
      </c>
      <c r="C11" s="50" t="s">
        <v>79</v>
      </c>
      <c r="D11" s="333" t="s">
        <v>438</v>
      </c>
      <c r="E11" s="46"/>
      <c r="F11" s="46"/>
      <c r="G11" s="46"/>
      <c r="H11" s="46" t="s">
        <v>32</v>
      </c>
      <c r="I11" s="46"/>
      <c r="J11" s="46" t="s">
        <v>32</v>
      </c>
      <c r="K11" s="46"/>
      <c r="L11" s="46" t="s">
        <v>32</v>
      </c>
      <c r="M11" s="46"/>
      <c r="N11" s="46"/>
      <c r="O11" s="46"/>
      <c r="P11" s="46"/>
      <c r="Q11" s="34" t="s">
        <v>177</v>
      </c>
      <c r="R11" s="39" t="s">
        <v>38</v>
      </c>
      <c r="S11" s="629"/>
      <c r="T11" s="241">
        <f>+PST!J280</f>
        <v>79906</v>
      </c>
      <c r="U11" s="988">
        <f t="shared" si="0"/>
        <v>79906</v>
      </c>
    </row>
    <row r="12" spans="1:21" ht="96" x14ac:dyDescent="0.2">
      <c r="A12" s="840"/>
      <c r="B12" s="842"/>
      <c r="C12" s="50"/>
      <c r="D12" s="21" t="s">
        <v>439</v>
      </c>
      <c r="E12" s="48" t="s">
        <v>32</v>
      </c>
      <c r="F12" s="48" t="s">
        <v>32</v>
      </c>
      <c r="G12" s="48" t="s">
        <v>32</v>
      </c>
      <c r="H12" s="48" t="s">
        <v>32</v>
      </c>
      <c r="I12" s="48" t="s">
        <v>32</v>
      </c>
      <c r="J12" s="48" t="s">
        <v>32</v>
      </c>
      <c r="K12" s="48" t="s">
        <v>32</v>
      </c>
      <c r="L12" s="48" t="s">
        <v>32</v>
      </c>
      <c r="M12" s="48" t="s">
        <v>32</v>
      </c>
      <c r="N12" s="48" t="s">
        <v>32</v>
      </c>
      <c r="O12" s="48" t="s">
        <v>32</v>
      </c>
      <c r="P12" s="48" t="s">
        <v>32</v>
      </c>
      <c r="Q12" s="34" t="s">
        <v>177</v>
      </c>
      <c r="R12" s="39" t="s">
        <v>38</v>
      </c>
      <c r="S12" s="629"/>
      <c r="T12" s="241">
        <f>+PST!J293</f>
        <v>39950</v>
      </c>
      <c r="U12" s="988">
        <f t="shared" si="0"/>
        <v>39950</v>
      </c>
    </row>
    <row r="13" spans="1:21" ht="96" x14ac:dyDescent="0.2">
      <c r="A13" s="840"/>
      <c r="B13" s="842"/>
      <c r="C13" s="50"/>
      <c r="D13" s="21" t="s">
        <v>440</v>
      </c>
      <c r="E13" s="48" t="s">
        <v>32</v>
      </c>
      <c r="F13" s="48" t="s">
        <v>32</v>
      </c>
      <c r="G13" s="48" t="s">
        <v>32</v>
      </c>
      <c r="H13" s="48" t="s">
        <v>32</v>
      </c>
      <c r="I13" s="48" t="s">
        <v>32</v>
      </c>
      <c r="J13" s="48" t="s">
        <v>32</v>
      </c>
      <c r="K13" s="48" t="s">
        <v>32</v>
      </c>
      <c r="L13" s="48" t="s">
        <v>32</v>
      </c>
      <c r="M13" s="48" t="s">
        <v>32</v>
      </c>
      <c r="N13" s="48" t="s">
        <v>32</v>
      </c>
      <c r="O13" s="48" t="s">
        <v>32</v>
      </c>
      <c r="P13" s="48" t="s">
        <v>32</v>
      </c>
      <c r="Q13" s="34" t="s">
        <v>177</v>
      </c>
      <c r="R13" s="39" t="s">
        <v>38</v>
      </c>
      <c r="S13" s="629"/>
      <c r="T13" s="241">
        <f>+PST!J298</f>
        <v>39950</v>
      </c>
      <c r="U13" s="988">
        <f t="shared" si="0"/>
        <v>39950</v>
      </c>
    </row>
    <row r="14" spans="1:21" ht="120" x14ac:dyDescent="0.2">
      <c r="A14" s="840"/>
      <c r="B14" s="842"/>
      <c r="C14" s="50" t="s">
        <v>79</v>
      </c>
      <c r="D14" s="136" t="s">
        <v>441</v>
      </c>
      <c r="E14" s="744" t="s">
        <v>32</v>
      </c>
      <c r="F14" s="744" t="s">
        <v>32</v>
      </c>
      <c r="G14" s="744" t="s">
        <v>32</v>
      </c>
      <c r="H14" s="744" t="s">
        <v>32</v>
      </c>
      <c r="I14" s="744" t="s">
        <v>32</v>
      </c>
      <c r="J14" s="744" t="s">
        <v>32</v>
      </c>
      <c r="K14" s="744" t="s">
        <v>32</v>
      </c>
      <c r="L14" s="744" t="s">
        <v>32</v>
      </c>
      <c r="M14" s="744" t="s">
        <v>32</v>
      </c>
      <c r="N14" s="744" t="s">
        <v>32</v>
      </c>
      <c r="O14" s="744" t="s">
        <v>32</v>
      </c>
      <c r="P14" s="744" t="s">
        <v>32</v>
      </c>
      <c r="Q14" s="628" t="s">
        <v>177</v>
      </c>
      <c r="R14" s="631" t="s">
        <v>330</v>
      </c>
      <c r="S14" s="629"/>
      <c r="T14" s="241">
        <f>+PST!J303</f>
        <v>13342</v>
      </c>
      <c r="U14" s="988">
        <f t="shared" si="0"/>
        <v>13342</v>
      </c>
    </row>
    <row r="15" spans="1:21" ht="129.75" customHeight="1" x14ac:dyDescent="0.2">
      <c r="A15" s="840"/>
      <c r="B15" s="842"/>
      <c r="C15" s="47" t="s">
        <v>357</v>
      </c>
      <c r="D15" s="21" t="s">
        <v>442</v>
      </c>
      <c r="E15" s="30"/>
      <c r="F15" s="34"/>
      <c r="G15" s="34"/>
      <c r="H15" s="34" t="s">
        <v>32</v>
      </c>
      <c r="I15" s="34" t="s">
        <v>146</v>
      </c>
      <c r="J15" s="34" t="s">
        <v>146</v>
      </c>
      <c r="K15" s="34" t="s">
        <v>146</v>
      </c>
      <c r="L15" s="34" t="s">
        <v>146</v>
      </c>
      <c r="M15" s="34" t="s">
        <v>146</v>
      </c>
      <c r="N15" s="34" t="s">
        <v>146</v>
      </c>
      <c r="O15" s="34" t="s">
        <v>146</v>
      </c>
      <c r="P15" s="34" t="s">
        <v>146</v>
      </c>
      <c r="Q15" s="34" t="s">
        <v>356</v>
      </c>
      <c r="R15" s="21" t="s">
        <v>323</v>
      </c>
      <c r="S15" s="30"/>
      <c r="T15" s="241">
        <f>PST!J308</f>
        <v>144792</v>
      </c>
      <c r="U15" s="988">
        <f t="shared" si="0"/>
        <v>144792</v>
      </c>
    </row>
    <row r="16" spans="1:21" ht="84" x14ac:dyDescent="0.2">
      <c r="A16" s="823">
        <v>4.0999999999999996</v>
      </c>
      <c r="B16" s="820" t="s">
        <v>443</v>
      </c>
      <c r="C16" s="632" t="s">
        <v>253</v>
      </c>
      <c r="D16" s="40" t="s">
        <v>445</v>
      </c>
      <c r="E16" s="633"/>
      <c r="F16" s="633" t="s">
        <v>32</v>
      </c>
      <c r="G16" s="633" t="s">
        <v>32</v>
      </c>
      <c r="H16" s="633" t="s">
        <v>32</v>
      </c>
      <c r="I16" s="633" t="s">
        <v>32</v>
      </c>
      <c r="J16" s="633" t="s">
        <v>32</v>
      </c>
      <c r="K16" s="633" t="s">
        <v>32</v>
      </c>
      <c r="L16" s="633" t="s">
        <v>32</v>
      </c>
      <c r="M16" s="633" t="s">
        <v>32</v>
      </c>
      <c r="N16" s="633" t="s">
        <v>32</v>
      </c>
      <c r="O16" s="633" t="s">
        <v>32</v>
      </c>
      <c r="P16" s="633" t="s">
        <v>32</v>
      </c>
      <c r="Q16" s="633" t="s">
        <v>177</v>
      </c>
      <c r="R16" s="40" t="s">
        <v>71</v>
      </c>
      <c r="S16" s="629"/>
      <c r="T16" s="241">
        <f>+PST!J321</f>
        <v>86860</v>
      </c>
      <c r="U16" s="988">
        <f t="shared" si="0"/>
        <v>86860</v>
      </c>
    </row>
    <row r="17" spans="1:21" ht="108" x14ac:dyDescent="0.2">
      <c r="A17" s="824"/>
      <c r="B17" s="821"/>
      <c r="C17" s="47" t="s">
        <v>254</v>
      </c>
      <c r="D17" s="21" t="s">
        <v>446</v>
      </c>
      <c r="E17" s="34" t="s">
        <v>32</v>
      </c>
      <c r="F17" s="34" t="s">
        <v>32</v>
      </c>
      <c r="G17" s="34" t="s">
        <v>32</v>
      </c>
      <c r="H17" s="34" t="s">
        <v>32</v>
      </c>
      <c r="I17" s="34" t="s">
        <v>32</v>
      </c>
      <c r="J17" s="34" t="s">
        <v>32</v>
      </c>
      <c r="K17" s="34" t="s">
        <v>32</v>
      </c>
      <c r="L17" s="34" t="s">
        <v>32</v>
      </c>
      <c r="M17" s="34" t="s">
        <v>32</v>
      </c>
      <c r="N17" s="34" t="s">
        <v>32</v>
      </c>
      <c r="O17" s="34" t="s">
        <v>32</v>
      </c>
      <c r="P17" s="34" t="s">
        <v>32</v>
      </c>
      <c r="Q17" s="34" t="s">
        <v>329</v>
      </c>
      <c r="R17" s="21" t="s">
        <v>331</v>
      </c>
      <c r="S17" s="629"/>
      <c r="T17" s="241">
        <f>+PST!J330</f>
        <v>162810</v>
      </c>
      <c r="U17" s="988">
        <f t="shared" si="0"/>
        <v>162810</v>
      </c>
    </row>
    <row r="18" spans="1:21" ht="96" x14ac:dyDescent="0.2">
      <c r="A18" s="824"/>
      <c r="B18" s="821"/>
      <c r="C18" s="627" t="s">
        <v>255</v>
      </c>
      <c r="D18" s="136" t="s">
        <v>447</v>
      </c>
      <c r="E18" s="628" t="s">
        <v>32</v>
      </c>
      <c r="F18" s="628" t="s">
        <v>32</v>
      </c>
      <c r="G18" s="628" t="s">
        <v>32</v>
      </c>
      <c r="H18" s="628" t="s">
        <v>32</v>
      </c>
      <c r="I18" s="628" t="s">
        <v>32</v>
      </c>
      <c r="J18" s="628" t="s">
        <v>32</v>
      </c>
      <c r="K18" s="628" t="s">
        <v>32</v>
      </c>
      <c r="L18" s="628" t="s">
        <v>32</v>
      </c>
      <c r="M18" s="628" t="s">
        <v>32</v>
      </c>
      <c r="N18" s="628" t="s">
        <v>32</v>
      </c>
      <c r="O18" s="628" t="s">
        <v>32</v>
      </c>
      <c r="P18" s="628" t="s">
        <v>32</v>
      </c>
      <c r="Q18" s="628" t="s">
        <v>329</v>
      </c>
      <c r="R18" s="136" t="s">
        <v>323</v>
      </c>
      <c r="S18" s="629"/>
      <c r="T18" s="241">
        <f>+PST!J344</f>
        <v>90145</v>
      </c>
      <c r="U18" s="988">
        <f t="shared" si="0"/>
        <v>90145</v>
      </c>
    </row>
    <row r="19" spans="1:21" ht="48" x14ac:dyDescent="0.2">
      <c r="A19" s="824"/>
      <c r="B19" s="821"/>
      <c r="C19" s="47" t="s">
        <v>31</v>
      </c>
      <c r="D19" s="21" t="s">
        <v>448</v>
      </c>
      <c r="E19" s="34"/>
      <c r="F19" s="34"/>
      <c r="G19" s="34"/>
      <c r="H19" s="34"/>
      <c r="I19" s="34"/>
      <c r="J19" s="34"/>
      <c r="K19" s="34" t="s">
        <v>146</v>
      </c>
      <c r="L19" s="34" t="s">
        <v>146</v>
      </c>
      <c r="M19" s="34" t="s">
        <v>146</v>
      </c>
      <c r="N19" s="34" t="s">
        <v>146</v>
      </c>
      <c r="O19" s="34" t="s">
        <v>146</v>
      </c>
      <c r="P19" s="34" t="s">
        <v>146</v>
      </c>
      <c r="Q19" s="34" t="s">
        <v>329</v>
      </c>
      <c r="R19" s="21" t="s">
        <v>323</v>
      </c>
      <c r="S19" s="629"/>
      <c r="T19" s="241">
        <f>+PST!J356</f>
        <v>139165</v>
      </c>
      <c r="U19" s="988">
        <f t="shared" si="0"/>
        <v>139165</v>
      </c>
    </row>
    <row r="20" spans="1:21" x14ac:dyDescent="0.2">
      <c r="A20" s="825"/>
      <c r="B20" s="82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624"/>
    </row>
    <row r="21" spans="1:21" s="64" customFormat="1" ht="26.25" customHeight="1" thickBot="1" x14ac:dyDescent="0.25">
      <c r="A21" s="774" t="s">
        <v>112</v>
      </c>
      <c r="B21" s="775"/>
      <c r="C21" s="775"/>
      <c r="D21" s="775"/>
      <c r="E21" s="775"/>
      <c r="F21" s="775"/>
      <c r="G21" s="775"/>
      <c r="H21" s="775"/>
      <c r="I21" s="775"/>
      <c r="J21" s="775"/>
      <c r="K21" s="775"/>
      <c r="L21" s="775"/>
      <c r="M21" s="775"/>
      <c r="N21" s="775"/>
      <c r="O21" s="775"/>
      <c r="P21" s="775"/>
      <c r="Q21" s="775"/>
      <c r="R21" s="775"/>
      <c r="S21" s="775"/>
      <c r="T21" s="776"/>
      <c r="U21" s="111">
        <f>SUM(U10:U19)</f>
        <v>832541.59733333334</v>
      </c>
    </row>
    <row r="22" spans="1:21" s="13" customFormat="1" x14ac:dyDescent="0.2">
      <c r="A22" s="9"/>
      <c r="B22" s="32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53"/>
      <c r="U22" s="10"/>
    </row>
    <row r="23" spans="1:21" ht="15" x14ac:dyDescent="0.2">
      <c r="A23" s="115" t="str">
        <f>MR!A27</f>
        <v>1. Linea de acción: Conservacion del area protegida y su biodiversidad</v>
      </c>
      <c r="B23" s="115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7"/>
      <c r="T23" s="97"/>
      <c r="U23" s="97"/>
    </row>
    <row r="24" spans="1:21" ht="15.75" x14ac:dyDescent="0.2">
      <c r="A24" s="829" t="s">
        <v>436</v>
      </c>
      <c r="B24" s="829"/>
      <c r="C24" s="829"/>
      <c r="D24" s="829"/>
      <c r="E24" s="829"/>
      <c r="F24" s="829"/>
      <c r="G24" s="829"/>
      <c r="H24" s="829"/>
      <c r="I24" s="829"/>
      <c r="J24" s="829"/>
      <c r="K24" s="829"/>
      <c r="L24" s="829"/>
      <c r="M24" s="829"/>
      <c r="N24" s="829"/>
      <c r="O24" s="829"/>
      <c r="P24" s="829"/>
      <c r="Q24" s="829"/>
      <c r="R24" s="829"/>
      <c r="S24" s="829"/>
      <c r="T24" s="829"/>
      <c r="U24" s="829"/>
    </row>
    <row r="25" spans="1:21" ht="15.75" x14ac:dyDescent="0.2">
      <c r="A25" s="829" t="s">
        <v>435</v>
      </c>
      <c r="B25" s="829"/>
      <c r="C25" s="829"/>
      <c r="D25" s="829"/>
      <c r="E25" s="829"/>
      <c r="F25" s="829"/>
      <c r="G25" s="829"/>
      <c r="H25" s="829"/>
      <c r="I25" s="829"/>
      <c r="J25" s="829"/>
      <c r="K25" s="829"/>
      <c r="L25" s="829"/>
      <c r="M25" s="829"/>
      <c r="N25" s="829"/>
      <c r="O25" s="829"/>
      <c r="P25" s="829"/>
      <c r="Q25" s="829"/>
      <c r="R25" s="829"/>
      <c r="S25" s="829"/>
      <c r="T25" s="829"/>
      <c r="U25" s="829"/>
    </row>
    <row r="26" spans="1:21" ht="36.75" customHeight="1" thickBot="1" x14ac:dyDescent="0.25">
      <c r="A26" s="835" t="s">
        <v>141</v>
      </c>
      <c r="B26" s="835"/>
      <c r="C26" s="835"/>
      <c r="D26" s="835"/>
      <c r="E26" s="835"/>
      <c r="F26" s="835"/>
      <c r="G26" s="835"/>
      <c r="H26" s="835"/>
      <c r="I26" s="835"/>
      <c r="J26" s="835"/>
      <c r="K26" s="835"/>
      <c r="L26" s="835"/>
      <c r="M26" s="835"/>
      <c r="N26" s="835"/>
      <c r="O26" s="835"/>
      <c r="P26" s="835"/>
      <c r="Q26" s="835"/>
      <c r="R26" s="835"/>
      <c r="S26" s="835"/>
      <c r="T26" s="835"/>
      <c r="U26" s="835"/>
    </row>
    <row r="27" spans="1:21" s="3" customFormat="1" x14ac:dyDescent="0.2">
      <c r="A27" s="833" t="s">
        <v>14</v>
      </c>
      <c r="B27" s="827" t="s">
        <v>315</v>
      </c>
      <c r="C27" s="827" t="s">
        <v>20</v>
      </c>
      <c r="D27" s="827" t="s">
        <v>0</v>
      </c>
      <c r="E27" s="830" t="s">
        <v>17</v>
      </c>
      <c r="F27" s="772"/>
      <c r="G27" s="772"/>
      <c r="H27" s="772"/>
      <c r="I27" s="772"/>
      <c r="J27" s="772"/>
      <c r="K27" s="772"/>
      <c r="L27" s="772"/>
      <c r="M27" s="772"/>
      <c r="N27" s="772"/>
      <c r="O27" s="772"/>
      <c r="P27" s="831"/>
      <c r="Q27" s="827" t="s">
        <v>10</v>
      </c>
      <c r="R27" s="827" t="s">
        <v>11</v>
      </c>
      <c r="S27" s="832" t="s">
        <v>12</v>
      </c>
      <c r="T27" s="751"/>
      <c r="U27" s="752"/>
    </row>
    <row r="28" spans="1:21" ht="13.5" customHeight="1" x14ac:dyDescent="0.2">
      <c r="A28" s="834"/>
      <c r="B28" s="828"/>
      <c r="C28" s="828"/>
      <c r="D28" s="828"/>
      <c r="E28" s="24" t="s">
        <v>1</v>
      </c>
      <c r="F28" s="25" t="s">
        <v>2</v>
      </c>
      <c r="G28" s="25" t="s">
        <v>3</v>
      </c>
      <c r="H28" s="25" t="s">
        <v>4</v>
      </c>
      <c r="I28" s="25" t="s">
        <v>3</v>
      </c>
      <c r="J28" s="25" t="s">
        <v>5</v>
      </c>
      <c r="K28" s="25" t="s">
        <v>5</v>
      </c>
      <c r="L28" s="25" t="s">
        <v>4</v>
      </c>
      <c r="M28" s="25" t="s">
        <v>6</v>
      </c>
      <c r="N28" s="25" t="s">
        <v>7</v>
      </c>
      <c r="O28" s="25" t="s">
        <v>8</v>
      </c>
      <c r="P28" s="26" t="s">
        <v>9</v>
      </c>
      <c r="Q28" s="828"/>
      <c r="R28" s="828"/>
      <c r="S28" s="27" t="s">
        <v>21</v>
      </c>
      <c r="T28" s="28" t="s">
        <v>18</v>
      </c>
      <c r="U28" s="29" t="s">
        <v>13</v>
      </c>
    </row>
    <row r="29" spans="1:21" ht="180" x14ac:dyDescent="0.2">
      <c r="A29" s="843"/>
      <c r="B29" s="821"/>
      <c r="C29" s="333" t="s">
        <v>307</v>
      </c>
      <c r="D29" s="333" t="s">
        <v>497</v>
      </c>
      <c r="E29" s="612" t="s">
        <v>32</v>
      </c>
      <c r="F29" s="613" t="s">
        <v>32</v>
      </c>
      <c r="G29" s="613" t="s">
        <v>32</v>
      </c>
      <c r="H29" s="613" t="s">
        <v>32</v>
      </c>
      <c r="I29" s="613" t="s">
        <v>32</v>
      </c>
      <c r="J29" s="613" t="s">
        <v>32</v>
      </c>
      <c r="K29" s="613" t="s">
        <v>32</v>
      </c>
      <c r="L29" s="613" t="s">
        <v>32</v>
      </c>
      <c r="M29" s="613" t="s">
        <v>32</v>
      </c>
      <c r="N29" s="613" t="s">
        <v>32</v>
      </c>
      <c r="O29" s="613" t="s">
        <v>32</v>
      </c>
      <c r="P29" s="614" t="s">
        <v>32</v>
      </c>
      <c r="Q29" s="333" t="s">
        <v>332</v>
      </c>
      <c r="R29" s="333" t="s">
        <v>308</v>
      </c>
      <c r="S29" s="615"/>
      <c r="T29" s="240">
        <f>+PST!J371</f>
        <v>130760</v>
      </c>
      <c r="U29" s="826">
        <f>SUM(T29:T39)</f>
        <v>1410625.25</v>
      </c>
    </row>
    <row r="30" spans="1:21" ht="144" x14ac:dyDescent="0.2">
      <c r="A30" s="843"/>
      <c r="B30" s="821"/>
      <c r="C30" s="34" t="s">
        <v>309</v>
      </c>
      <c r="D30" s="180" t="s">
        <v>498</v>
      </c>
      <c r="E30" s="277"/>
      <c r="F30" s="277"/>
      <c r="G30" s="277"/>
      <c r="H30" s="277"/>
      <c r="I30" s="277"/>
      <c r="J30" s="278" t="s">
        <v>32</v>
      </c>
      <c r="K30" s="278" t="s">
        <v>32</v>
      </c>
      <c r="L30" s="278" t="s">
        <v>32</v>
      </c>
      <c r="M30" s="277"/>
      <c r="N30" s="277"/>
      <c r="O30" s="277"/>
      <c r="P30" s="277"/>
      <c r="Q30" s="34" t="s">
        <v>332</v>
      </c>
      <c r="R30" s="197" t="s">
        <v>310</v>
      </c>
      <c r="S30" s="47"/>
      <c r="T30" s="240">
        <f>+PST!J379</f>
        <v>137280</v>
      </c>
      <c r="U30" s="826"/>
    </row>
    <row r="31" spans="1:21" ht="144" x14ac:dyDescent="0.2">
      <c r="A31" s="843"/>
      <c r="B31" s="821"/>
      <c r="C31" s="34" t="s">
        <v>309</v>
      </c>
      <c r="D31" s="180" t="s">
        <v>449</v>
      </c>
      <c r="E31" s="277"/>
      <c r="F31" s="277"/>
      <c r="G31" s="277"/>
      <c r="H31" s="277"/>
      <c r="I31" s="277"/>
      <c r="J31" s="277"/>
      <c r="K31" s="277"/>
      <c r="L31" s="278" t="s">
        <v>32</v>
      </c>
      <c r="M31" s="278" t="s">
        <v>32</v>
      </c>
      <c r="N31" s="278" t="s">
        <v>32</v>
      </c>
      <c r="O31" s="277"/>
      <c r="P31" s="277"/>
      <c r="Q31" s="34" t="s">
        <v>332</v>
      </c>
      <c r="R31" s="197" t="s">
        <v>311</v>
      </c>
      <c r="S31" s="47"/>
      <c r="T31" s="240">
        <f>+PST!J386</f>
        <v>9048</v>
      </c>
      <c r="U31" s="826"/>
    </row>
    <row r="32" spans="1:21" ht="144" x14ac:dyDescent="0.2">
      <c r="A32" s="843"/>
      <c r="B32" s="821"/>
      <c r="C32" s="34" t="s">
        <v>309</v>
      </c>
      <c r="D32" s="180" t="s">
        <v>450</v>
      </c>
      <c r="E32" s="278" t="s">
        <v>32</v>
      </c>
      <c r="F32" s="278" t="s">
        <v>32</v>
      </c>
      <c r="G32" s="278" t="s">
        <v>32</v>
      </c>
      <c r="H32" s="278" t="s">
        <v>32</v>
      </c>
      <c r="I32" s="278" t="s">
        <v>32</v>
      </c>
      <c r="J32" s="278" t="s">
        <v>32</v>
      </c>
      <c r="K32" s="278" t="s">
        <v>32</v>
      </c>
      <c r="L32" s="278" t="s">
        <v>32</v>
      </c>
      <c r="M32" s="278" t="s">
        <v>32</v>
      </c>
      <c r="N32" s="278" t="s">
        <v>32</v>
      </c>
      <c r="O32" s="278" t="s">
        <v>32</v>
      </c>
      <c r="P32" s="278" t="s">
        <v>32</v>
      </c>
      <c r="Q32" s="34" t="s">
        <v>332</v>
      </c>
      <c r="R32" s="197" t="s">
        <v>312</v>
      </c>
      <c r="S32" s="47"/>
      <c r="T32" s="240">
        <f>+PST!J390</f>
        <v>55698</v>
      </c>
      <c r="U32" s="826"/>
    </row>
    <row r="33" spans="1:21" ht="63.75" x14ac:dyDescent="0.2">
      <c r="A33" s="843"/>
      <c r="B33" s="821"/>
      <c r="C33" s="34" t="s">
        <v>364</v>
      </c>
      <c r="D33" s="166" t="s">
        <v>451</v>
      </c>
      <c r="E33" s="623" t="s">
        <v>146</v>
      </c>
      <c r="F33" s="278" t="s">
        <v>146</v>
      </c>
      <c r="G33" s="278" t="s">
        <v>146</v>
      </c>
      <c r="H33" s="623" t="s">
        <v>146</v>
      </c>
      <c r="I33" s="623" t="s">
        <v>146</v>
      </c>
      <c r="J33" s="278" t="s">
        <v>146</v>
      </c>
      <c r="K33" s="278" t="s">
        <v>146</v>
      </c>
      <c r="L33" s="623" t="s">
        <v>146</v>
      </c>
      <c r="M33" s="278" t="s">
        <v>146</v>
      </c>
      <c r="N33" s="278" t="s">
        <v>146</v>
      </c>
      <c r="O33" s="623" t="s">
        <v>146</v>
      </c>
      <c r="P33" s="623" t="s">
        <v>146</v>
      </c>
      <c r="Q33" s="34" t="s">
        <v>365</v>
      </c>
      <c r="R33" s="197" t="s">
        <v>366</v>
      </c>
      <c r="S33" s="47"/>
      <c r="T33" s="240">
        <f>PST!J396</f>
        <v>61180</v>
      </c>
      <c r="U33" s="826"/>
    </row>
    <row r="34" spans="1:21" ht="102" x14ac:dyDescent="0.2">
      <c r="A34" s="843"/>
      <c r="B34" s="821"/>
      <c r="C34" s="34" t="s">
        <v>369</v>
      </c>
      <c r="D34" s="285" t="s">
        <v>490</v>
      </c>
      <c r="E34" s="277"/>
      <c r="F34" s="278" t="s">
        <v>146</v>
      </c>
      <c r="G34" s="278" t="s">
        <v>146</v>
      </c>
      <c r="H34" s="623" t="s">
        <v>146</v>
      </c>
      <c r="I34" s="623" t="s">
        <v>146</v>
      </c>
      <c r="J34" s="278" t="s">
        <v>146</v>
      </c>
      <c r="K34" s="278" t="s">
        <v>146</v>
      </c>
      <c r="L34" s="623" t="s">
        <v>146</v>
      </c>
      <c r="M34" s="278" t="s">
        <v>146</v>
      </c>
      <c r="N34" s="278" t="s">
        <v>146</v>
      </c>
      <c r="O34" s="623" t="s">
        <v>146</v>
      </c>
      <c r="P34" s="623" t="s">
        <v>146</v>
      </c>
      <c r="Q34" s="34" t="s">
        <v>370</v>
      </c>
      <c r="R34" s="197" t="s">
        <v>371</v>
      </c>
      <c r="S34" s="47"/>
      <c r="T34" s="240">
        <f>PST!J403</f>
        <v>13698</v>
      </c>
      <c r="U34" s="826"/>
    </row>
    <row r="35" spans="1:21" ht="144" x14ac:dyDescent="0.2">
      <c r="A35" s="843"/>
      <c r="B35" s="821"/>
      <c r="C35" s="34" t="s">
        <v>309</v>
      </c>
      <c r="D35" s="180" t="s">
        <v>485</v>
      </c>
      <c r="E35" s="277"/>
      <c r="F35" s="277"/>
      <c r="G35" s="277"/>
      <c r="H35" s="277"/>
      <c r="I35" s="277"/>
      <c r="J35" s="277"/>
      <c r="K35" s="277"/>
      <c r="L35" s="278" t="s">
        <v>32</v>
      </c>
      <c r="M35" s="278" t="s">
        <v>32</v>
      </c>
      <c r="N35" s="278" t="s">
        <v>32</v>
      </c>
      <c r="O35" s="278" t="s">
        <v>32</v>
      </c>
      <c r="P35" s="277"/>
      <c r="Q35" s="34" t="s">
        <v>332</v>
      </c>
      <c r="R35" s="197" t="s">
        <v>313</v>
      </c>
      <c r="S35" s="47"/>
      <c r="T35" s="240">
        <f>PST!J408</f>
        <v>59841</v>
      </c>
      <c r="U35" s="826"/>
    </row>
    <row r="36" spans="1:21" ht="116.25" customHeight="1" x14ac:dyDescent="0.2">
      <c r="A36" s="843"/>
      <c r="B36" s="821"/>
      <c r="C36" s="34" t="s">
        <v>309</v>
      </c>
      <c r="D36" s="180" t="s">
        <v>452</v>
      </c>
      <c r="E36" s="277"/>
      <c r="F36" s="277"/>
      <c r="G36" s="277"/>
      <c r="H36" s="277"/>
      <c r="I36" s="277"/>
      <c r="J36" s="277"/>
      <c r="K36" s="277"/>
      <c r="L36" s="278" t="s">
        <v>32</v>
      </c>
      <c r="M36" s="278" t="s">
        <v>32</v>
      </c>
      <c r="N36" s="278" t="s">
        <v>32</v>
      </c>
      <c r="O36" s="278" t="s">
        <v>32</v>
      </c>
      <c r="P36" s="277"/>
      <c r="Q36" s="34" t="s">
        <v>332</v>
      </c>
      <c r="R36" s="197" t="s">
        <v>313</v>
      </c>
      <c r="S36" s="47"/>
      <c r="T36" s="240">
        <f>PST!J419</f>
        <v>17344</v>
      </c>
      <c r="U36" s="826"/>
    </row>
    <row r="37" spans="1:21" ht="116.25" customHeight="1" x14ac:dyDescent="0.2">
      <c r="A37" s="843"/>
      <c r="B37" s="821"/>
      <c r="C37" s="34" t="s">
        <v>309</v>
      </c>
      <c r="D37" s="180" t="s">
        <v>453</v>
      </c>
      <c r="E37" s="277"/>
      <c r="F37" s="278" t="s">
        <v>32</v>
      </c>
      <c r="G37" s="278" t="s">
        <v>32</v>
      </c>
      <c r="H37" s="277"/>
      <c r="I37" s="277"/>
      <c r="J37" s="277"/>
      <c r="K37" s="277"/>
      <c r="L37" s="278" t="s">
        <v>32</v>
      </c>
      <c r="M37" s="278" t="s">
        <v>32</v>
      </c>
      <c r="N37" s="277"/>
      <c r="O37" s="277"/>
      <c r="P37" s="277"/>
      <c r="Q37" s="34" t="s">
        <v>332</v>
      </c>
      <c r="R37" s="197" t="s">
        <v>314</v>
      </c>
      <c r="S37" s="47"/>
      <c r="T37" s="240">
        <f>PST!J429</f>
        <v>14820.75</v>
      </c>
      <c r="U37" s="826"/>
    </row>
    <row r="38" spans="1:21" ht="147.75" customHeight="1" x14ac:dyDescent="0.2">
      <c r="A38" s="616"/>
      <c r="B38" s="821"/>
      <c r="C38" s="34" t="s">
        <v>358</v>
      </c>
      <c r="D38" s="285" t="s">
        <v>486</v>
      </c>
      <c r="E38" s="277" t="s">
        <v>146</v>
      </c>
      <c r="F38" s="278" t="s">
        <v>146</v>
      </c>
      <c r="G38" s="278" t="s">
        <v>146</v>
      </c>
      <c r="H38" s="277" t="s">
        <v>146</v>
      </c>
      <c r="I38" s="277" t="s">
        <v>146</v>
      </c>
      <c r="J38" s="277" t="s">
        <v>146</v>
      </c>
      <c r="K38" s="277"/>
      <c r="L38" s="277"/>
      <c r="M38" s="277"/>
      <c r="N38" s="277"/>
      <c r="O38" s="277"/>
      <c r="P38" s="277"/>
      <c r="Q38" s="34" t="s">
        <v>359</v>
      </c>
      <c r="R38" s="197" t="s">
        <v>323</v>
      </c>
      <c r="S38" s="47"/>
      <c r="T38" s="240">
        <f>PST!J435</f>
        <v>535125.5</v>
      </c>
      <c r="U38" s="826"/>
    </row>
    <row r="39" spans="1:21" ht="147.75" customHeight="1" x14ac:dyDescent="0.2">
      <c r="A39" s="616"/>
      <c r="B39" s="822"/>
      <c r="C39" s="34" t="s">
        <v>360</v>
      </c>
      <c r="D39" s="285" t="s">
        <v>454</v>
      </c>
      <c r="E39" s="277" t="s">
        <v>146</v>
      </c>
      <c r="F39" s="278" t="s">
        <v>146</v>
      </c>
      <c r="G39" s="278" t="s">
        <v>146</v>
      </c>
      <c r="H39" s="277" t="s">
        <v>146</v>
      </c>
      <c r="I39" s="277" t="s">
        <v>146</v>
      </c>
      <c r="J39" s="277" t="s">
        <v>146</v>
      </c>
      <c r="K39" s="277"/>
      <c r="L39" s="277"/>
      <c r="M39" s="277"/>
      <c r="N39" s="277"/>
      <c r="O39" s="277"/>
      <c r="P39" s="277"/>
      <c r="Q39" s="34" t="s">
        <v>34</v>
      </c>
      <c r="R39" s="197" t="s">
        <v>323</v>
      </c>
      <c r="S39" s="47"/>
      <c r="T39" s="240">
        <f>PST!J443</f>
        <v>375830</v>
      </c>
      <c r="U39" s="826"/>
    </row>
    <row r="40" spans="1:21" s="64" customFormat="1" ht="26.25" customHeight="1" thickBot="1" x14ac:dyDescent="0.25">
      <c r="A40" s="774" t="s">
        <v>112</v>
      </c>
      <c r="B40" s="775"/>
      <c r="C40" s="775"/>
      <c r="D40" s="775"/>
      <c r="E40" s="775"/>
      <c r="F40" s="775"/>
      <c r="G40" s="775"/>
      <c r="H40" s="775"/>
      <c r="I40" s="775"/>
      <c r="J40" s="775"/>
      <c r="K40" s="775"/>
      <c r="L40" s="775"/>
      <c r="M40" s="775"/>
      <c r="N40" s="775"/>
      <c r="O40" s="775"/>
      <c r="P40" s="775"/>
      <c r="Q40" s="775"/>
      <c r="R40" s="775"/>
      <c r="S40" s="775"/>
      <c r="T40" s="776"/>
      <c r="U40" s="111">
        <f>SUM(U29)</f>
        <v>1410625.25</v>
      </c>
    </row>
    <row r="41" spans="1:21" s="13" customFormat="1" x14ac:dyDescent="0.2">
      <c r="A41" s="69"/>
      <c r="B41" s="70"/>
      <c r="C41" s="10"/>
      <c r="D41" s="71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71"/>
      <c r="R41" s="71"/>
      <c r="S41" s="69"/>
      <c r="T41" s="72"/>
      <c r="U41" s="69"/>
    </row>
    <row r="42" spans="1:21" s="13" customFormat="1" x14ac:dyDescent="0.2">
      <c r="A42" s="15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22"/>
      <c r="U42" s="10"/>
    </row>
    <row r="43" spans="1:21" ht="15" x14ac:dyDescent="0.2">
      <c r="A43" s="115" t="str">
        <f>MR!A27</f>
        <v>1. Linea de acción: Conservacion del area protegida y su biodiversidad</v>
      </c>
      <c r="B43" s="115"/>
      <c r="C43" s="98"/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7"/>
      <c r="T43" s="97"/>
      <c r="U43" s="97"/>
    </row>
    <row r="44" spans="1:21" ht="15.75" x14ac:dyDescent="0.2">
      <c r="A44" s="829" t="s">
        <v>140</v>
      </c>
      <c r="B44" s="829"/>
      <c r="C44" s="829"/>
      <c r="D44" s="829"/>
      <c r="E44" s="829"/>
      <c r="F44" s="829"/>
      <c r="G44" s="829"/>
      <c r="H44" s="829"/>
      <c r="I44" s="829"/>
      <c r="J44" s="829"/>
      <c r="K44" s="829"/>
      <c r="L44" s="829"/>
      <c r="M44" s="829"/>
      <c r="N44" s="829"/>
      <c r="O44" s="829"/>
      <c r="P44" s="829"/>
      <c r="Q44" s="829"/>
      <c r="R44" s="829"/>
      <c r="S44" s="829"/>
      <c r="T44" s="829"/>
      <c r="U44" s="829"/>
    </row>
    <row r="45" spans="1:21" ht="15.75" x14ac:dyDescent="0.2">
      <c r="A45" s="829" t="s">
        <v>437</v>
      </c>
      <c r="B45" s="829"/>
      <c r="C45" s="829"/>
      <c r="D45" s="829"/>
      <c r="E45" s="829"/>
      <c r="F45" s="829"/>
      <c r="G45" s="829"/>
      <c r="H45" s="829"/>
      <c r="I45" s="829"/>
      <c r="J45" s="829"/>
      <c r="K45" s="829"/>
      <c r="L45" s="829"/>
      <c r="M45" s="829"/>
      <c r="N45" s="829"/>
      <c r="O45" s="829"/>
      <c r="P45" s="829"/>
      <c r="Q45" s="829"/>
      <c r="R45" s="829"/>
      <c r="S45" s="829"/>
      <c r="T45" s="829"/>
      <c r="U45" s="829"/>
    </row>
    <row r="46" spans="1:21" ht="34.5" customHeight="1" x14ac:dyDescent="0.2">
      <c r="A46" s="835" t="s">
        <v>142</v>
      </c>
      <c r="B46" s="835"/>
      <c r="C46" s="835"/>
      <c r="D46" s="835"/>
      <c r="E46" s="835"/>
      <c r="F46" s="835"/>
      <c r="G46" s="835"/>
      <c r="H46" s="835"/>
      <c r="I46" s="835"/>
      <c r="J46" s="835"/>
      <c r="K46" s="835"/>
      <c r="L46" s="835"/>
      <c r="M46" s="835"/>
      <c r="N46" s="835"/>
      <c r="O46" s="835"/>
      <c r="P46" s="835"/>
      <c r="Q46" s="835"/>
      <c r="R46" s="835"/>
      <c r="S46" s="835"/>
      <c r="T46" s="835"/>
      <c r="U46" s="835"/>
    </row>
    <row r="47" spans="1:21" ht="13.5" thickBot="1" x14ac:dyDescent="0.25"/>
    <row r="48" spans="1:21" s="3" customFormat="1" x14ac:dyDescent="0.2">
      <c r="A48" s="852" t="s">
        <v>14</v>
      </c>
      <c r="B48" s="850" t="s">
        <v>315</v>
      </c>
      <c r="C48" s="850" t="s">
        <v>20</v>
      </c>
      <c r="D48" s="850" t="s">
        <v>0</v>
      </c>
      <c r="E48" s="847" t="s">
        <v>17</v>
      </c>
      <c r="F48" s="848"/>
      <c r="G48" s="848"/>
      <c r="H48" s="848"/>
      <c r="I48" s="848"/>
      <c r="J48" s="848"/>
      <c r="K48" s="848"/>
      <c r="L48" s="848"/>
      <c r="M48" s="848"/>
      <c r="N48" s="848"/>
      <c r="O48" s="848"/>
      <c r="P48" s="849"/>
      <c r="Q48" s="850" t="s">
        <v>10</v>
      </c>
      <c r="R48" s="850" t="s">
        <v>11</v>
      </c>
      <c r="S48" s="844" t="s">
        <v>12</v>
      </c>
      <c r="T48" s="845"/>
      <c r="U48" s="846"/>
    </row>
    <row r="49" spans="1:21" ht="13.5" customHeight="1" thickBot="1" x14ac:dyDescent="0.25">
      <c r="A49" s="853"/>
      <c r="B49" s="851"/>
      <c r="C49" s="851"/>
      <c r="D49" s="851"/>
      <c r="E49" s="117" t="s">
        <v>1</v>
      </c>
      <c r="F49" s="118" t="s">
        <v>2</v>
      </c>
      <c r="G49" s="118" t="s">
        <v>3</v>
      </c>
      <c r="H49" s="118" t="s">
        <v>4</v>
      </c>
      <c r="I49" s="118" t="s">
        <v>3</v>
      </c>
      <c r="J49" s="118" t="s">
        <v>5</v>
      </c>
      <c r="K49" s="118" t="s">
        <v>5</v>
      </c>
      <c r="L49" s="118" t="s">
        <v>4</v>
      </c>
      <c r="M49" s="118" t="s">
        <v>6</v>
      </c>
      <c r="N49" s="118" t="s">
        <v>7</v>
      </c>
      <c r="O49" s="118" t="s">
        <v>8</v>
      </c>
      <c r="P49" s="119" t="s">
        <v>9</v>
      </c>
      <c r="Q49" s="851"/>
      <c r="R49" s="851"/>
      <c r="S49" s="120" t="s">
        <v>21</v>
      </c>
      <c r="T49" s="273" t="s">
        <v>18</v>
      </c>
      <c r="U49" s="121" t="s">
        <v>13</v>
      </c>
    </row>
    <row r="50" spans="1:21" s="13" customFormat="1" ht="192" x14ac:dyDescent="0.2">
      <c r="A50" s="859">
        <v>4.3</v>
      </c>
      <c r="B50" s="862" t="s">
        <v>455</v>
      </c>
      <c r="C50" s="44" t="s">
        <v>31</v>
      </c>
      <c r="D50" s="40" t="s">
        <v>456</v>
      </c>
      <c r="E50" s="192"/>
      <c r="F50" s="258" t="s">
        <v>32</v>
      </c>
      <c r="G50" s="103" t="s">
        <v>32</v>
      </c>
      <c r="H50" s="103" t="s">
        <v>32</v>
      </c>
      <c r="I50" s="103" t="s">
        <v>32</v>
      </c>
      <c r="J50" s="103" t="s">
        <v>32</v>
      </c>
      <c r="K50" s="103" t="s">
        <v>32</v>
      </c>
      <c r="L50" s="103" t="s">
        <v>32</v>
      </c>
      <c r="M50" s="103" t="s">
        <v>32</v>
      </c>
      <c r="N50" s="192"/>
      <c r="O50" s="192"/>
      <c r="P50" s="103"/>
      <c r="Q50" s="34" t="s">
        <v>333</v>
      </c>
      <c r="R50" s="40" t="s">
        <v>80</v>
      </c>
      <c r="S50" s="842"/>
      <c r="T50" s="272">
        <f>PST!J452</f>
        <v>50869</v>
      </c>
      <c r="U50" s="860">
        <f>SUM(T50:T57)</f>
        <v>437635.1</v>
      </c>
    </row>
    <row r="51" spans="1:21" s="13" customFormat="1" ht="237.75" customHeight="1" x14ac:dyDescent="0.2">
      <c r="A51" s="859"/>
      <c r="B51" s="862"/>
      <c r="C51" s="44" t="s">
        <v>31</v>
      </c>
      <c r="D51" s="40" t="s">
        <v>457</v>
      </c>
      <c r="E51" s="258" t="s">
        <v>32</v>
      </c>
      <c r="F51" s="202"/>
      <c r="G51" s="202"/>
      <c r="H51" s="258" t="s">
        <v>32</v>
      </c>
      <c r="I51" s="202"/>
      <c r="J51" s="202"/>
      <c r="K51" s="202"/>
      <c r="L51" s="258" t="s">
        <v>32</v>
      </c>
      <c r="M51" s="202"/>
      <c r="N51" s="202"/>
      <c r="O51" s="202" t="s">
        <v>32</v>
      </c>
      <c r="P51" s="202"/>
      <c r="Q51" s="34" t="s">
        <v>334</v>
      </c>
      <c r="R51" s="40" t="s">
        <v>52</v>
      </c>
      <c r="S51" s="842"/>
      <c r="T51" s="242">
        <f>PST!J463</f>
        <v>33863.5</v>
      </c>
      <c r="U51" s="861"/>
    </row>
    <row r="52" spans="1:21" s="13" customFormat="1" ht="217.5" customHeight="1" x14ac:dyDescent="0.2">
      <c r="A52" s="859"/>
      <c r="B52" s="862"/>
      <c r="C52" s="48" t="s">
        <v>31</v>
      </c>
      <c r="D52" s="736" t="s">
        <v>458</v>
      </c>
      <c r="E52" s="258" t="s">
        <v>32</v>
      </c>
      <c r="F52" s="202"/>
      <c r="G52" s="202"/>
      <c r="H52" s="258" t="s">
        <v>32</v>
      </c>
      <c r="I52" s="202"/>
      <c r="J52" s="202"/>
      <c r="K52" s="202"/>
      <c r="L52" s="258" t="s">
        <v>32</v>
      </c>
      <c r="M52" s="202"/>
      <c r="N52" s="202"/>
      <c r="O52" s="202"/>
      <c r="P52" s="202"/>
      <c r="Q52" s="34" t="s">
        <v>334</v>
      </c>
      <c r="R52" s="40" t="s">
        <v>52</v>
      </c>
      <c r="S52" s="842"/>
      <c r="T52" s="242">
        <f>PST!J472</f>
        <v>117680</v>
      </c>
      <c r="U52" s="861"/>
    </row>
    <row r="53" spans="1:21" s="13" customFormat="1" ht="183" customHeight="1" x14ac:dyDescent="0.2">
      <c r="A53" s="859"/>
      <c r="B53" s="862"/>
      <c r="C53" s="48" t="s">
        <v>31</v>
      </c>
      <c r="D53" s="40" t="s">
        <v>459</v>
      </c>
      <c r="E53" s="258" t="s">
        <v>32</v>
      </c>
      <c r="F53" s="202"/>
      <c r="G53" s="202"/>
      <c r="H53" s="202"/>
      <c r="I53" s="202"/>
      <c r="J53" s="202"/>
      <c r="K53" s="258" t="s">
        <v>32</v>
      </c>
      <c r="L53" s="202"/>
      <c r="M53" s="202"/>
      <c r="N53" s="202"/>
      <c r="O53" s="202"/>
      <c r="P53" s="202"/>
      <c r="Q53" s="34" t="s">
        <v>334</v>
      </c>
      <c r="R53" s="40" t="s">
        <v>52</v>
      </c>
      <c r="S53" s="842"/>
      <c r="T53" s="242">
        <f>PST!J479</f>
        <v>4326.2999999999993</v>
      </c>
      <c r="U53" s="861"/>
    </row>
    <row r="54" spans="1:21" s="13" customFormat="1" ht="197.25" customHeight="1" x14ac:dyDescent="0.2">
      <c r="A54" s="859"/>
      <c r="B54" s="862"/>
      <c r="C54" s="48" t="s">
        <v>31</v>
      </c>
      <c r="D54" s="40" t="s">
        <v>460</v>
      </c>
      <c r="E54" s="258"/>
      <c r="F54" s="202"/>
      <c r="G54" s="202"/>
      <c r="H54" s="202"/>
      <c r="I54" s="202"/>
      <c r="J54" s="202"/>
      <c r="K54" s="258"/>
      <c r="L54" s="202"/>
      <c r="M54" s="202"/>
      <c r="N54" s="202"/>
      <c r="O54" s="258" t="s">
        <v>32</v>
      </c>
      <c r="P54" s="258" t="s">
        <v>32</v>
      </c>
      <c r="Q54" s="34" t="s">
        <v>334</v>
      </c>
      <c r="R54" s="40" t="s">
        <v>52</v>
      </c>
      <c r="S54" s="842"/>
      <c r="T54" s="242">
        <f>PST!J485</f>
        <v>6826.2999999999993</v>
      </c>
      <c r="U54" s="861"/>
    </row>
    <row r="55" spans="1:21" s="13" customFormat="1" ht="108" customHeight="1" x14ac:dyDescent="0.2">
      <c r="A55" s="859"/>
      <c r="B55" s="862"/>
      <c r="C55" s="48" t="s">
        <v>31</v>
      </c>
      <c r="D55" s="40" t="s">
        <v>461</v>
      </c>
      <c r="E55" s="258" t="s">
        <v>32</v>
      </c>
      <c r="F55" s="258" t="s">
        <v>32</v>
      </c>
      <c r="G55" s="258" t="s">
        <v>32</v>
      </c>
      <c r="H55" s="258" t="s">
        <v>32</v>
      </c>
      <c r="I55" s="258" t="s">
        <v>32</v>
      </c>
      <c r="J55" s="258" t="s">
        <v>32</v>
      </c>
      <c r="K55" s="258" t="s">
        <v>32</v>
      </c>
      <c r="L55" s="258" t="s">
        <v>32</v>
      </c>
      <c r="M55" s="258" t="s">
        <v>32</v>
      </c>
      <c r="N55" s="258" t="s">
        <v>32</v>
      </c>
      <c r="O55" s="258" t="s">
        <v>32</v>
      </c>
      <c r="P55" s="258"/>
      <c r="Q55" s="34" t="s">
        <v>334</v>
      </c>
      <c r="R55" s="40" t="s">
        <v>256</v>
      </c>
      <c r="S55" s="842"/>
      <c r="T55" s="242">
        <f>PST!J492</f>
        <v>40735</v>
      </c>
      <c r="U55" s="861"/>
    </row>
    <row r="56" spans="1:21" s="13" customFormat="1" ht="125.25" customHeight="1" x14ac:dyDescent="0.2">
      <c r="A56" s="859"/>
      <c r="B56" s="862"/>
      <c r="C56" s="48" t="s">
        <v>31</v>
      </c>
      <c r="D56" s="40" t="s">
        <v>462</v>
      </c>
      <c r="E56" s="258" t="s">
        <v>32</v>
      </c>
      <c r="F56" s="258" t="s">
        <v>32</v>
      </c>
      <c r="G56" s="258" t="s">
        <v>32</v>
      </c>
      <c r="H56" s="258" t="s">
        <v>32</v>
      </c>
      <c r="I56" s="258" t="s">
        <v>32</v>
      </c>
      <c r="J56" s="258" t="s">
        <v>32</v>
      </c>
      <c r="K56" s="258" t="s">
        <v>32</v>
      </c>
      <c r="L56" s="258" t="s">
        <v>32</v>
      </c>
      <c r="M56" s="258" t="s">
        <v>32</v>
      </c>
      <c r="N56" s="258" t="s">
        <v>32</v>
      </c>
      <c r="O56" s="258" t="s">
        <v>32</v>
      </c>
      <c r="P56" s="258" t="s">
        <v>32</v>
      </c>
      <c r="Q56" s="34" t="s">
        <v>334</v>
      </c>
      <c r="R56" s="40" t="s">
        <v>257</v>
      </c>
      <c r="S56" s="842"/>
      <c r="T56" s="242">
        <f>PST!J500</f>
        <v>109925</v>
      </c>
      <c r="U56" s="861"/>
    </row>
    <row r="57" spans="1:21" s="13" customFormat="1" ht="96.75" thickBot="1" x14ac:dyDescent="0.25">
      <c r="A57" s="859"/>
      <c r="B57" s="862"/>
      <c r="C57" s="48" t="s">
        <v>31</v>
      </c>
      <c r="D57" s="21" t="s">
        <v>463</v>
      </c>
      <c r="E57" s="258" t="s">
        <v>32</v>
      </c>
      <c r="F57" s="258" t="s">
        <v>32</v>
      </c>
      <c r="G57" s="258" t="s">
        <v>32</v>
      </c>
      <c r="H57" s="258" t="s">
        <v>32</v>
      </c>
      <c r="I57" s="258" t="s">
        <v>32</v>
      </c>
      <c r="J57" s="258" t="s">
        <v>32</v>
      </c>
      <c r="K57" s="258" t="s">
        <v>32</v>
      </c>
      <c r="L57" s="258" t="s">
        <v>32</v>
      </c>
      <c r="M57" s="258" t="s">
        <v>32</v>
      </c>
      <c r="N57" s="258" t="s">
        <v>32</v>
      </c>
      <c r="O57" s="258" t="s">
        <v>32</v>
      </c>
      <c r="P57" s="258" t="s">
        <v>32</v>
      </c>
      <c r="Q57" s="34" t="s">
        <v>334</v>
      </c>
      <c r="R57" s="21" t="s">
        <v>304</v>
      </c>
      <c r="S57" s="842"/>
      <c r="T57" s="242">
        <f>PST!J505</f>
        <v>73410</v>
      </c>
      <c r="U57" s="861"/>
    </row>
    <row r="58" spans="1:21" s="64" customFormat="1" ht="26.25" customHeight="1" thickBot="1" x14ac:dyDescent="0.25">
      <c r="A58" s="857" t="s">
        <v>112</v>
      </c>
      <c r="B58" s="858"/>
      <c r="C58" s="858"/>
      <c r="D58" s="858"/>
      <c r="E58" s="858"/>
      <c r="F58" s="858"/>
      <c r="G58" s="858"/>
      <c r="H58" s="858"/>
      <c r="I58" s="858"/>
      <c r="J58" s="858"/>
      <c r="K58" s="858"/>
      <c r="L58" s="858"/>
      <c r="M58" s="858"/>
      <c r="N58" s="858"/>
      <c r="O58" s="858"/>
      <c r="P58" s="858"/>
      <c r="Q58" s="858"/>
      <c r="R58" s="858"/>
      <c r="S58" s="858"/>
      <c r="T58" s="858"/>
      <c r="U58" s="116">
        <f>+SUM(T50:T57)</f>
        <v>437635.1</v>
      </c>
    </row>
    <row r="59" spans="1:21" s="64" customFormat="1" ht="26.25" customHeight="1" thickBot="1" x14ac:dyDescent="0.25">
      <c r="A59" s="854" t="s">
        <v>113</v>
      </c>
      <c r="B59" s="855"/>
      <c r="C59" s="855"/>
      <c r="D59" s="855"/>
      <c r="E59" s="855"/>
      <c r="F59" s="855"/>
      <c r="G59" s="855"/>
      <c r="H59" s="855"/>
      <c r="I59" s="855"/>
      <c r="J59" s="855"/>
      <c r="K59" s="855"/>
      <c r="L59" s="855"/>
      <c r="M59" s="855"/>
      <c r="N59" s="855"/>
      <c r="O59" s="855"/>
      <c r="P59" s="855"/>
      <c r="Q59" s="855"/>
      <c r="R59" s="855"/>
      <c r="S59" s="855"/>
      <c r="T59" s="856"/>
      <c r="U59" s="122">
        <f>SUM(U21+U40+U58)</f>
        <v>2680801.9473333335</v>
      </c>
    </row>
    <row r="60" spans="1:21" s="13" customFormat="1" x14ac:dyDescent="0.2">
      <c r="A60" s="15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22"/>
      <c r="U60" s="10"/>
    </row>
    <row r="61" spans="1:21" s="13" customFormat="1" ht="36" customHeight="1" x14ac:dyDescent="0.2">
      <c r="A61" s="9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22"/>
      <c r="U61" s="10"/>
    </row>
    <row r="62" spans="1:21" s="13" customFormat="1" ht="36" customHeight="1" x14ac:dyDescent="0.2">
      <c r="A62" s="9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22"/>
      <c r="U62" s="10"/>
    </row>
    <row r="63" spans="1:21" s="4" customFormat="1" ht="36" customHeight="1" x14ac:dyDescent="0.2">
      <c r="A63" s="11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1"/>
      <c r="T63" s="23"/>
      <c r="U63" s="11"/>
    </row>
    <row r="64" spans="1:21" s="13" customFormat="1" ht="36" customHeight="1" x14ac:dyDescent="0.2">
      <c r="A64" s="11"/>
      <c r="C64" s="12"/>
      <c r="D64" s="12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2"/>
      <c r="R64" s="12"/>
      <c r="S64" s="11"/>
      <c r="T64" s="23"/>
      <c r="U64" s="11"/>
    </row>
    <row r="65" spans="1:21" s="13" customFormat="1" ht="36" customHeight="1" x14ac:dyDescent="0.2">
      <c r="A65" s="15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22"/>
      <c r="U65" s="10"/>
    </row>
    <row r="66" spans="1:21" s="13" customFormat="1" ht="36" customHeight="1" x14ac:dyDescent="0.2">
      <c r="A66" s="15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22"/>
      <c r="U66" s="10"/>
    </row>
    <row r="67" spans="1:21" s="13" customFormat="1" ht="36" customHeight="1" x14ac:dyDescent="0.2">
      <c r="A67" s="15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22"/>
      <c r="U67" s="10"/>
    </row>
    <row r="68" spans="1:21" x14ac:dyDescent="0.2"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</row>
  </sheetData>
  <mergeCells count="51">
    <mergeCell ref="A59:T59"/>
    <mergeCell ref="A58:T58"/>
    <mergeCell ref="A50:A57"/>
    <mergeCell ref="C48:C49"/>
    <mergeCell ref="A45:U45"/>
    <mergeCell ref="B48:B49"/>
    <mergeCell ref="Q48:Q49"/>
    <mergeCell ref="U50:U57"/>
    <mergeCell ref="S50:S57"/>
    <mergeCell ref="D48:D49"/>
    <mergeCell ref="A46:U46"/>
    <mergeCell ref="B50:B57"/>
    <mergeCell ref="A44:U44"/>
    <mergeCell ref="A40:T40"/>
    <mergeCell ref="A29:A37"/>
    <mergeCell ref="S48:U48"/>
    <mergeCell ref="E48:P48"/>
    <mergeCell ref="R48:R49"/>
    <mergeCell ref="A48:A49"/>
    <mergeCell ref="A7:U7"/>
    <mergeCell ref="A11:A15"/>
    <mergeCell ref="S8:U8"/>
    <mergeCell ref="C8:C9"/>
    <mergeCell ref="D8:D9"/>
    <mergeCell ref="Q8:Q9"/>
    <mergeCell ref="E8:P8"/>
    <mergeCell ref="R8:R9"/>
    <mergeCell ref="B11:B15"/>
    <mergeCell ref="B8:B9"/>
    <mergeCell ref="A8:A9"/>
    <mergeCell ref="A1:U1"/>
    <mergeCell ref="A2:U2"/>
    <mergeCell ref="A3:U3"/>
    <mergeCell ref="A5:U5"/>
    <mergeCell ref="A6:U6"/>
    <mergeCell ref="B16:B20"/>
    <mergeCell ref="A16:A20"/>
    <mergeCell ref="B29:B39"/>
    <mergeCell ref="U29:U39"/>
    <mergeCell ref="C27:C28"/>
    <mergeCell ref="D27:D28"/>
    <mergeCell ref="A24:U24"/>
    <mergeCell ref="Q27:Q28"/>
    <mergeCell ref="E27:P27"/>
    <mergeCell ref="A21:T21"/>
    <mergeCell ref="S27:U27"/>
    <mergeCell ref="A27:A28"/>
    <mergeCell ref="R27:R28"/>
    <mergeCell ref="B27:B28"/>
    <mergeCell ref="A25:U25"/>
    <mergeCell ref="A26:U26"/>
  </mergeCells>
  <phoneticPr fontId="0" type="noConversion"/>
  <printOptions horizontalCentered="1"/>
  <pageMargins left="0.39370078740157483" right="0.78740157480314965" top="0.59055118110236227" bottom="0.19685039370078741" header="0" footer="0"/>
  <pageSetup paperSize="119" scale="81" fitToHeight="0" orientation="landscape" horizontalDpi="4294967293" verticalDpi="1200" r:id="rId1"/>
  <headerFooter alignWithMargins="0"/>
  <rowBreaks count="1" manualBreakCount="1">
    <brk id="2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0"/>
  <sheetViews>
    <sheetView zoomScale="85" zoomScaleNormal="85" workbookViewId="0">
      <pane ySplit="1" topLeftCell="A2" activePane="bottomLeft" state="frozen"/>
      <selection pane="bottomLeft" sqref="A1:U1"/>
    </sheetView>
  </sheetViews>
  <sheetFormatPr baseColWidth="10" defaultRowHeight="12.75" x14ac:dyDescent="0.2"/>
  <cols>
    <col min="1" max="1" width="6.7109375" style="8" customWidth="1"/>
    <col min="2" max="2" width="23.28515625" style="6" customWidth="1"/>
    <col min="3" max="3" width="15" style="7" customWidth="1"/>
    <col min="4" max="4" width="18.28515625" style="7" customWidth="1"/>
    <col min="5" max="16" width="2.42578125" style="7" customWidth="1"/>
    <col min="17" max="17" width="14.28515625" style="8" customWidth="1"/>
    <col min="18" max="18" width="15.42578125" style="7" customWidth="1"/>
    <col min="19" max="19" width="8.42578125" style="8" customWidth="1"/>
    <col min="20" max="20" width="15.7109375" style="8" bestFit="1" customWidth="1"/>
    <col min="21" max="21" width="17.85546875" style="8" customWidth="1"/>
  </cols>
  <sheetData>
    <row r="1" spans="1:21" s="62" customFormat="1" ht="18" x14ac:dyDescent="0.25">
      <c r="A1" s="769" t="s">
        <v>19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</row>
    <row r="2" spans="1:21" s="62" customFormat="1" ht="15.75" x14ac:dyDescent="0.25">
      <c r="A2" s="812" t="str">
        <f>RRCC!A2:U2</f>
        <v>PLAN OPERATIVO ANUAL 2021</v>
      </c>
      <c r="B2" s="812"/>
      <c r="C2" s="812"/>
      <c r="D2" s="812"/>
      <c r="E2" s="812"/>
      <c r="F2" s="812"/>
      <c r="G2" s="812"/>
      <c r="H2" s="812"/>
      <c r="I2" s="812"/>
      <c r="J2" s="812"/>
      <c r="K2" s="812"/>
      <c r="L2" s="812"/>
      <c r="M2" s="812"/>
      <c r="N2" s="812"/>
      <c r="O2" s="812"/>
      <c r="P2" s="812"/>
      <c r="Q2" s="812"/>
      <c r="R2" s="812"/>
      <c r="S2" s="812"/>
      <c r="T2" s="812"/>
      <c r="U2" s="812"/>
    </row>
    <row r="3" spans="1:21" s="62" customFormat="1" ht="15.75" customHeight="1" x14ac:dyDescent="0.25">
      <c r="A3" s="812" t="str">
        <f>RRCC!A3:U3</f>
        <v>PARQUE NACIONAL SIERRA DEL LACANDÓN, RESERVA DE BIOSFERA MAYA</v>
      </c>
      <c r="B3" s="812"/>
      <c r="C3" s="812"/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2"/>
      <c r="S3" s="812"/>
      <c r="T3" s="812"/>
      <c r="U3" s="812"/>
    </row>
    <row r="4" spans="1:21" s="62" customFormat="1" ht="12.75" customHeight="1" x14ac:dyDescent="0.25">
      <c r="A4" s="812"/>
      <c r="B4" s="812"/>
      <c r="C4" s="812"/>
      <c r="D4" s="812"/>
      <c r="E4" s="812"/>
      <c r="F4" s="812"/>
      <c r="G4" s="812"/>
      <c r="H4" s="812"/>
      <c r="I4" s="812"/>
      <c r="J4" s="812"/>
      <c r="K4" s="812"/>
      <c r="L4" s="812"/>
      <c r="M4" s="812"/>
      <c r="N4" s="812"/>
      <c r="O4" s="812"/>
      <c r="P4" s="812"/>
      <c r="Q4" s="812"/>
      <c r="R4" s="5"/>
      <c r="S4" s="5"/>
      <c r="T4" s="5"/>
      <c r="U4" s="5"/>
    </row>
    <row r="5" spans="1:21" ht="15" x14ac:dyDescent="0.2">
      <c r="A5" s="115" t="str">
        <f>MR!A27</f>
        <v>1. Linea de acción: Conservacion del area protegida y su biodiversidad</v>
      </c>
      <c r="B5" s="115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7"/>
      <c r="T5" s="97"/>
      <c r="U5" s="97"/>
    </row>
    <row r="6" spans="1:21" ht="15.75" x14ac:dyDescent="0.2">
      <c r="A6" s="829" t="s">
        <v>143</v>
      </c>
      <c r="B6" s="829"/>
      <c r="C6" s="829"/>
      <c r="D6" s="829"/>
      <c r="E6" s="829"/>
      <c r="F6" s="829"/>
      <c r="G6" s="829"/>
      <c r="H6" s="829"/>
      <c r="I6" s="829"/>
      <c r="J6" s="829"/>
      <c r="K6" s="829"/>
      <c r="L6" s="829"/>
      <c r="M6" s="829"/>
      <c r="N6" s="829"/>
      <c r="O6" s="829"/>
      <c r="P6" s="829"/>
      <c r="Q6" s="829"/>
      <c r="R6" s="829"/>
      <c r="S6" s="829"/>
      <c r="T6" s="829"/>
      <c r="U6" s="829"/>
    </row>
    <row r="7" spans="1:21" ht="15.75" x14ac:dyDescent="0.2">
      <c r="A7" s="829" t="s">
        <v>464</v>
      </c>
      <c r="B7" s="829"/>
      <c r="C7" s="829"/>
      <c r="D7" s="829"/>
      <c r="E7" s="829"/>
      <c r="F7" s="829"/>
      <c r="G7" s="829"/>
      <c r="H7" s="829"/>
      <c r="I7" s="829"/>
      <c r="J7" s="829"/>
      <c r="K7" s="829"/>
      <c r="L7" s="829"/>
      <c r="M7" s="829"/>
      <c r="N7" s="829"/>
      <c r="O7" s="829"/>
      <c r="P7" s="829"/>
      <c r="Q7" s="829"/>
      <c r="R7" s="829"/>
      <c r="S7" s="829"/>
      <c r="T7" s="829"/>
      <c r="U7" s="829"/>
    </row>
    <row r="8" spans="1:21" ht="31.5" customHeight="1" x14ac:dyDescent="0.2">
      <c r="A8" s="835" t="s">
        <v>144</v>
      </c>
      <c r="B8" s="835"/>
      <c r="C8" s="835"/>
      <c r="D8" s="835"/>
      <c r="E8" s="835"/>
      <c r="F8" s="835"/>
      <c r="G8" s="835"/>
      <c r="H8" s="835"/>
      <c r="I8" s="835"/>
      <c r="J8" s="835"/>
      <c r="K8" s="835"/>
      <c r="L8" s="835"/>
      <c r="M8" s="835"/>
      <c r="N8" s="835"/>
      <c r="O8" s="835"/>
      <c r="P8" s="835"/>
      <c r="Q8" s="835"/>
      <c r="R8" s="835"/>
      <c r="S8" s="835"/>
      <c r="T8" s="835"/>
      <c r="U8" s="835"/>
    </row>
    <row r="9" spans="1:21" ht="13.5" thickBot="1" x14ac:dyDescent="0.25"/>
    <row r="10" spans="1:21" s="3" customFormat="1" x14ac:dyDescent="0.2">
      <c r="A10" s="833" t="s">
        <v>14</v>
      </c>
      <c r="B10" s="827" t="s">
        <v>315</v>
      </c>
      <c r="C10" s="827" t="s">
        <v>20</v>
      </c>
      <c r="D10" s="827" t="s">
        <v>0</v>
      </c>
      <c r="E10" s="830" t="s">
        <v>17</v>
      </c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831"/>
      <c r="Q10" s="827" t="s">
        <v>10</v>
      </c>
      <c r="R10" s="827" t="s">
        <v>11</v>
      </c>
      <c r="S10" s="832" t="s">
        <v>12</v>
      </c>
      <c r="T10" s="751"/>
      <c r="U10" s="752"/>
    </row>
    <row r="11" spans="1:21" s="17" customFormat="1" ht="25.5" customHeight="1" thickBot="1" x14ac:dyDescent="0.25">
      <c r="A11" s="834"/>
      <c r="B11" s="828"/>
      <c r="C11" s="828"/>
      <c r="D11" s="828"/>
      <c r="E11" s="24" t="s">
        <v>1</v>
      </c>
      <c r="F11" s="25" t="s">
        <v>2</v>
      </c>
      <c r="G11" s="25" t="s">
        <v>3</v>
      </c>
      <c r="H11" s="25" t="s">
        <v>4</v>
      </c>
      <c r="I11" s="25" t="s">
        <v>3</v>
      </c>
      <c r="J11" s="25" t="s">
        <v>5</v>
      </c>
      <c r="K11" s="25" t="s">
        <v>5</v>
      </c>
      <c r="L11" s="25" t="s">
        <v>4</v>
      </c>
      <c r="M11" s="25" t="s">
        <v>6</v>
      </c>
      <c r="N11" s="25" t="s">
        <v>7</v>
      </c>
      <c r="O11" s="25" t="s">
        <v>8</v>
      </c>
      <c r="P11" s="26" t="s">
        <v>9</v>
      </c>
      <c r="Q11" s="828"/>
      <c r="R11" s="828"/>
      <c r="S11" s="27" t="s">
        <v>21</v>
      </c>
      <c r="T11" s="28" t="s">
        <v>18</v>
      </c>
      <c r="U11" s="29" t="s">
        <v>13</v>
      </c>
    </row>
    <row r="12" spans="1:21" s="17" customFormat="1" ht="207.75" customHeight="1" x14ac:dyDescent="0.2">
      <c r="A12" s="975" t="s">
        <v>109</v>
      </c>
      <c r="B12" s="976" t="s">
        <v>105</v>
      </c>
      <c r="C12" s="977" t="s">
        <v>31</v>
      </c>
      <c r="D12" s="978" t="s">
        <v>225</v>
      </c>
      <c r="E12" s="979" t="s">
        <v>32</v>
      </c>
      <c r="F12" s="979" t="s">
        <v>32</v>
      </c>
      <c r="G12" s="979" t="s">
        <v>32</v>
      </c>
      <c r="H12" s="979" t="s">
        <v>32</v>
      </c>
      <c r="I12" s="979" t="s">
        <v>32</v>
      </c>
      <c r="J12" s="979" t="s">
        <v>32</v>
      </c>
      <c r="K12" s="979" t="s">
        <v>32</v>
      </c>
      <c r="L12" s="979" t="s">
        <v>32</v>
      </c>
      <c r="M12" s="979" t="s">
        <v>32</v>
      </c>
      <c r="N12" s="979" t="s">
        <v>32</v>
      </c>
      <c r="O12" s="979" t="s">
        <v>32</v>
      </c>
      <c r="P12" s="980" t="s">
        <v>32</v>
      </c>
      <c r="Q12" s="981" t="s">
        <v>202</v>
      </c>
      <c r="R12" s="982" t="s">
        <v>81</v>
      </c>
      <c r="S12" s="741"/>
      <c r="T12" s="983">
        <f>+PST!J513</f>
        <v>160460</v>
      </c>
      <c r="U12" s="742"/>
    </row>
    <row r="13" spans="1:21" s="17" customFormat="1" ht="86.25" customHeight="1" x14ac:dyDescent="0.2">
      <c r="A13" s="760"/>
      <c r="B13" s="869"/>
      <c r="C13" s="743"/>
      <c r="D13" s="285" t="s">
        <v>380</v>
      </c>
      <c r="E13" s="746"/>
      <c r="F13" s="746"/>
      <c r="G13" s="745" t="s">
        <v>32</v>
      </c>
      <c r="H13" s="745" t="s">
        <v>32</v>
      </c>
      <c r="I13" s="745" t="s">
        <v>32</v>
      </c>
      <c r="J13" s="745" t="s">
        <v>32</v>
      </c>
      <c r="K13" s="745" t="s">
        <v>32</v>
      </c>
      <c r="L13" s="745" t="s">
        <v>32</v>
      </c>
      <c r="M13" s="745" t="s">
        <v>32</v>
      </c>
      <c r="N13" s="745" t="s">
        <v>32</v>
      </c>
      <c r="O13" s="745" t="s">
        <v>32</v>
      </c>
      <c r="P13" s="745" t="s">
        <v>32</v>
      </c>
      <c r="Q13" s="198"/>
      <c r="R13" s="33"/>
      <c r="S13" s="225"/>
      <c r="T13" s="974">
        <f>PST!J523</f>
        <v>30250</v>
      </c>
      <c r="U13" s="984"/>
    </row>
    <row r="14" spans="1:21" ht="92.25" customHeight="1" x14ac:dyDescent="0.2">
      <c r="A14" s="760"/>
      <c r="B14" s="869"/>
      <c r="C14" s="264" t="s">
        <v>31</v>
      </c>
      <c r="D14" s="626" t="s">
        <v>387</v>
      </c>
      <c r="E14" s="264"/>
      <c r="F14" s="264" t="s">
        <v>32</v>
      </c>
      <c r="G14" s="264" t="s">
        <v>32</v>
      </c>
      <c r="H14" s="264" t="s">
        <v>32</v>
      </c>
      <c r="I14" s="264" t="s">
        <v>32</v>
      </c>
      <c r="J14" s="264" t="s">
        <v>32</v>
      </c>
      <c r="K14" s="264" t="s">
        <v>32</v>
      </c>
      <c r="L14" s="264" t="s">
        <v>32</v>
      </c>
      <c r="M14" s="264" t="s">
        <v>32</v>
      </c>
      <c r="N14" s="264" t="s">
        <v>32</v>
      </c>
      <c r="O14" s="264" t="s">
        <v>32</v>
      </c>
      <c r="P14" s="264" t="s">
        <v>32</v>
      </c>
      <c r="Q14" s="30"/>
      <c r="R14" s="267"/>
      <c r="S14" s="746"/>
      <c r="T14" s="30">
        <f>PST!J529</f>
        <v>26520</v>
      </c>
      <c r="U14" s="985"/>
    </row>
    <row r="15" spans="1:21" s="64" customFormat="1" ht="26.25" customHeight="1" thickBot="1" x14ac:dyDescent="0.25">
      <c r="A15" s="986" t="s">
        <v>112</v>
      </c>
      <c r="B15" s="987"/>
      <c r="C15" s="987"/>
      <c r="D15" s="987"/>
      <c r="E15" s="987"/>
      <c r="F15" s="987"/>
      <c r="G15" s="987"/>
      <c r="H15" s="987"/>
      <c r="I15" s="987"/>
      <c r="J15" s="987"/>
      <c r="K15" s="987"/>
      <c r="L15" s="987"/>
      <c r="M15" s="987"/>
      <c r="N15" s="987"/>
      <c r="O15" s="987"/>
      <c r="P15" s="987"/>
      <c r="Q15" s="987"/>
      <c r="R15" s="987"/>
      <c r="S15" s="987"/>
      <c r="T15" s="987"/>
      <c r="U15" s="111">
        <f>+SUM(T12:T12)</f>
        <v>160460</v>
      </c>
    </row>
    <row r="16" spans="1:21" s="18" customFormat="1" x14ac:dyDescent="0.2">
      <c r="A16" s="11"/>
      <c r="B16" s="13"/>
      <c r="C16" s="12"/>
      <c r="D16" s="12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2"/>
      <c r="R16" s="12"/>
      <c r="S16" s="11"/>
      <c r="T16" s="23"/>
      <c r="U16" s="11"/>
    </row>
    <row r="17" spans="1:21" x14ac:dyDescent="0.2">
      <c r="A17" s="20" t="str">
        <f>MR!A27</f>
        <v>1. Linea de acción: Conservacion del area protegida y su biodiversidad</v>
      </c>
      <c r="B17" s="20"/>
      <c r="Q17" s="7"/>
    </row>
    <row r="18" spans="1:21" x14ac:dyDescent="0.2">
      <c r="A18" s="863" t="s">
        <v>407</v>
      </c>
      <c r="B18" s="864"/>
      <c r="C18" s="864"/>
      <c r="D18" s="864"/>
      <c r="E18" s="864"/>
      <c r="F18" s="864"/>
      <c r="G18" s="864"/>
      <c r="H18" s="864"/>
      <c r="I18" s="864"/>
      <c r="J18" s="864"/>
      <c r="K18" s="864"/>
      <c r="L18" s="864"/>
      <c r="M18" s="864"/>
      <c r="N18" s="864"/>
      <c r="O18" s="864"/>
      <c r="P18" s="864"/>
      <c r="Q18" s="864"/>
      <c r="R18" s="864"/>
      <c r="S18" s="864"/>
      <c r="T18" s="864"/>
      <c r="U18" s="864"/>
    </row>
    <row r="19" spans="1:21" x14ac:dyDescent="0.2">
      <c r="A19" s="863" t="s">
        <v>465</v>
      </c>
      <c r="B19" s="864"/>
      <c r="C19" s="864"/>
      <c r="D19" s="864"/>
      <c r="E19" s="864"/>
      <c r="F19" s="864"/>
      <c r="G19" s="864"/>
      <c r="H19" s="864"/>
      <c r="I19" s="864"/>
      <c r="J19" s="864"/>
      <c r="K19" s="864"/>
      <c r="L19" s="864"/>
      <c r="M19" s="864"/>
      <c r="N19" s="864"/>
      <c r="O19" s="864"/>
      <c r="P19" s="864"/>
      <c r="Q19" s="864"/>
      <c r="R19" s="864"/>
      <c r="S19" s="864"/>
      <c r="T19" s="864"/>
      <c r="U19" s="864"/>
    </row>
    <row r="20" spans="1:21" ht="28.5" customHeight="1" x14ac:dyDescent="0.2">
      <c r="A20" s="865" t="s">
        <v>40</v>
      </c>
      <c r="B20" s="866"/>
      <c r="C20" s="866"/>
      <c r="D20" s="866"/>
      <c r="E20" s="866"/>
      <c r="F20" s="866"/>
      <c r="G20" s="866"/>
      <c r="H20" s="866"/>
      <c r="I20" s="866"/>
      <c r="J20" s="866"/>
      <c r="K20" s="866"/>
      <c r="L20" s="866"/>
      <c r="M20" s="866"/>
      <c r="N20" s="866"/>
      <c r="O20" s="866"/>
      <c r="P20" s="866"/>
      <c r="Q20" s="866"/>
      <c r="R20" s="866"/>
      <c r="S20" s="866"/>
      <c r="T20" s="866"/>
      <c r="U20" s="866"/>
    </row>
    <row r="21" spans="1:21" ht="13.5" thickBot="1" x14ac:dyDescent="0.25"/>
    <row r="22" spans="1:21" s="3" customFormat="1" x14ac:dyDescent="0.2">
      <c r="A22" s="833" t="s">
        <v>14</v>
      </c>
      <c r="B22" s="827" t="s">
        <v>392</v>
      </c>
      <c r="C22" s="827" t="s">
        <v>20</v>
      </c>
      <c r="D22" s="827" t="s">
        <v>0</v>
      </c>
      <c r="E22" s="830" t="s">
        <v>17</v>
      </c>
      <c r="F22" s="772"/>
      <c r="G22" s="772"/>
      <c r="H22" s="772"/>
      <c r="I22" s="772"/>
      <c r="J22" s="772"/>
      <c r="K22" s="772"/>
      <c r="L22" s="772"/>
      <c r="M22" s="772"/>
      <c r="N22" s="772"/>
      <c r="O22" s="772"/>
      <c r="P22" s="831"/>
      <c r="Q22" s="827" t="s">
        <v>10</v>
      </c>
      <c r="R22" s="827" t="s">
        <v>11</v>
      </c>
      <c r="S22" s="832" t="s">
        <v>12</v>
      </c>
      <c r="T22" s="751"/>
      <c r="U22" s="752"/>
    </row>
    <row r="23" spans="1:21" s="17" customFormat="1" ht="13.5" customHeight="1" x14ac:dyDescent="0.2">
      <c r="A23" s="834"/>
      <c r="B23" s="828"/>
      <c r="C23" s="828"/>
      <c r="D23" s="828"/>
      <c r="E23" s="24" t="s">
        <v>1</v>
      </c>
      <c r="F23" s="25" t="s">
        <v>2</v>
      </c>
      <c r="G23" s="25" t="s">
        <v>3</v>
      </c>
      <c r="H23" s="25" t="s">
        <v>4</v>
      </c>
      <c r="I23" s="25" t="s">
        <v>3</v>
      </c>
      <c r="J23" s="25" t="s">
        <v>5</v>
      </c>
      <c r="K23" s="25" t="s">
        <v>5</v>
      </c>
      <c r="L23" s="25" t="s">
        <v>4</v>
      </c>
      <c r="M23" s="25" t="s">
        <v>6</v>
      </c>
      <c r="N23" s="25" t="s">
        <v>7</v>
      </c>
      <c r="O23" s="25" t="s">
        <v>8</v>
      </c>
      <c r="P23" s="26" t="s">
        <v>9</v>
      </c>
      <c r="Q23" s="828"/>
      <c r="R23" s="828"/>
      <c r="S23" s="27" t="s">
        <v>21</v>
      </c>
      <c r="T23" s="28" t="s">
        <v>18</v>
      </c>
      <c r="U23" s="29" t="s">
        <v>13</v>
      </c>
    </row>
    <row r="24" spans="1:21" s="17" customFormat="1" ht="188.25" customHeight="1" x14ac:dyDescent="0.2">
      <c r="A24" s="878">
        <v>5.2</v>
      </c>
      <c r="B24" s="869" t="s">
        <v>466</v>
      </c>
      <c r="C24" s="874" t="s">
        <v>31</v>
      </c>
      <c r="D24" s="263" t="s">
        <v>467</v>
      </c>
      <c r="E24" s="243" t="s">
        <v>32</v>
      </c>
      <c r="F24" s="243" t="s">
        <v>32</v>
      </c>
      <c r="G24" s="243" t="s">
        <v>32</v>
      </c>
      <c r="H24" s="243" t="s">
        <v>32</v>
      </c>
      <c r="I24" s="243" t="s">
        <v>32</v>
      </c>
      <c r="J24" s="243" t="s">
        <v>32</v>
      </c>
      <c r="K24" s="243" t="s">
        <v>32</v>
      </c>
      <c r="L24" s="243" t="s">
        <v>32</v>
      </c>
      <c r="M24" s="243" t="s">
        <v>32</v>
      </c>
      <c r="N24" s="243" t="s">
        <v>32</v>
      </c>
      <c r="O24" s="243" t="s">
        <v>32</v>
      </c>
      <c r="P24" s="243" t="s">
        <v>32</v>
      </c>
      <c r="Q24" s="198" t="s">
        <v>175</v>
      </c>
      <c r="R24" s="180" t="s">
        <v>172</v>
      </c>
      <c r="S24" s="225"/>
      <c r="T24" s="244">
        <f>+PST!J538</f>
        <v>38080</v>
      </c>
      <c r="U24" s="875">
        <f>SUM(T24:T26)</f>
        <v>156840</v>
      </c>
    </row>
    <row r="25" spans="1:21" s="17" customFormat="1" ht="229.5" x14ac:dyDescent="0.2">
      <c r="A25" s="879"/>
      <c r="B25" s="873"/>
      <c r="C25" s="874"/>
      <c r="D25" s="264" t="s">
        <v>468</v>
      </c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3"/>
      <c r="Q25" s="198" t="s">
        <v>175</v>
      </c>
      <c r="R25" s="180" t="s">
        <v>480</v>
      </c>
      <c r="S25" s="225"/>
      <c r="T25" s="244">
        <f>PST!J546</f>
        <v>84660</v>
      </c>
      <c r="U25" s="876"/>
    </row>
    <row r="26" spans="1:21" ht="261" customHeight="1" x14ac:dyDescent="0.2">
      <c r="A26" s="877"/>
      <c r="B26" s="873"/>
      <c r="C26" s="874"/>
      <c r="D26" s="266" t="s">
        <v>469</v>
      </c>
      <c r="E26" s="33" t="s">
        <v>32</v>
      </c>
      <c r="F26" s="33" t="s">
        <v>32</v>
      </c>
      <c r="G26" s="33" t="s">
        <v>32</v>
      </c>
      <c r="H26" s="33" t="s">
        <v>32</v>
      </c>
      <c r="I26" s="33" t="s">
        <v>32</v>
      </c>
      <c r="J26" s="33" t="s">
        <v>32</v>
      </c>
      <c r="K26" s="33" t="s">
        <v>32</v>
      </c>
      <c r="L26" s="33" t="s">
        <v>32</v>
      </c>
      <c r="M26" s="33" t="s">
        <v>32</v>
      </c>
      <c r="N26" s="33" t="s">
        <v>32</v>
      </c>
      <c r="O26" s="33" t="s">
        <v>32</v>
      </c>
      <c r="P26" s="33" t="s">
        <v>32</v>
      </c>
      <c r="Q26" s="198" t="s">
        <v>175</v>
      </c>
      <c r="R26" s="180" t="s">
        <v>172</v>
      </c>
      <c r="S26" s="31"/>
      <c r="T26" s="155">
        <f>+PST!I551</f>
        <v>34100</v>
      </c>
      <c r="U26" s="877"/>
    </row>
    <row r="27" spans="1:21" s="64" customFormat="1" ht="26.25" customHeight="1" x14ac:dyDescent="0.2">
      <c r="A27" s="870" t="s">
        <v>112</v>
      </c>
      <c r="B27" s="871"/>
      <c r="C27" s="871"/>
      <c r="D27" s="871"/>
      <c r="E27" s="871"/>
      <c r="F27" s="871"/>
      <c r="G27" s="871"/>
      <c r="H27" s="871"/>
      <c r="I27" s="871"/>
      <c r="J27" s="871"/>
      <c r="K27" s="871"/>
      <c r="L27" s="871"/>
      <c r="M27" s="871"/>
      <c r="N27" s="871"/>
      <c r="O27" s="871"/>
      <c r="P27" s="871"/>
      <c r="Q27" s="871"/>
      <c r="R27" s="871"/>
      <c r="S27" s="871"/>
      <c r="T27" s="872"/>
      <c r="U27" s="112">
        <f>+SUM(T23:T26)</f>
        <v>156840</v>
      </c>
    </row>
    <row r="28" spans="1:21" s="64" customFormat="1" ht="26.25" customHeight="1" x14ac:dyDescent="0.2">
      <c r="A28" s="870" t="s">
        <v>113</v>
      </c>
      <c r="B28" s="871"/>
      <c r="C28" s="871"/>
      <c r="D28" s="871"/>
      <c r="E28" s="871"/>
      <c r="F28" s="871"/>
      <c r="G28" s="871"/>
      <c r="H28" s="871"/>
      <c r="I28" s="871"/>
      <c r="J28" s="871"/>
      <c r="K28" s="871"/>
      <c r="L28" s="871"/>
      <c r="M28" s="871"/>
      <c r="N28" s="871"/>
      <c r="O28" s="871"/>
      <c r="P28" s="871"/>
      <c r="Q28" s="871"/>
      <c r="R28" s="871"/>
      <c r="S28" s="871"/>
      <c r="T28" s="872"/>
      <c r="U28" s="112">
        <f>U27+U15</f>
        <v>317300</v>
      </c>
    </row>
    <row r="29" spans="1:21" s="1" customFormat="1" x14ac:dyDescent="0.2">
      <c r="A29" s="15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22"/>
      <c r="U29" s="10"/>
    </row>
    <row r="30" spans="1:21" x14ac:dyDescent="0.2"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</sheetData>
  <mergeCells count="36">
    <mergeCell ref="A27:T27"/>
    <mergeCell ref="A28:T28"/>
    <mergeCell ref="D22:D23"/>
    <mergeCell ref="E22:P22"/>
    <mergeCell ref="Q22:Q23"/>
    <mergeCell ref="R22:R23"/>
    <mergeCell ref="S22:U22"/>
    <mergeCell ref="C22:C23"/>
    <mergeCell ref="B24:B26"/>
    <mergeCell ref="C24:C26"/>
    <mergeCell ref="U24:U26"/>
    <mergeCell ref="A24:A26"/>
    <mergeCell ref="A12:A14"/>
    <mergeCell ref="A15:T15"/>
    <mergeCell ref="A6:U6"/>
    <mergeCell ref="A1:U1"/>
    <mergeCell ref="A2:U2"/>
    <mergeCell ref="A3:U3"/>
    <mergeCell ref="A4:B4"/>
    <mergeCell ref="C4:Q4"/>
    <mergeCell ref="A18:U18"/>
    <mergeCell ref="A19:U19"/>
    <mergeCell ref="A20:U20"/>
    <mergeCell ref="A22:A23"/>
    <mergeCell ref="A7:U7"/>
    <mergeCell ref="A8:U8"/>
    <mergeCell ref="A10:A11"/>
    <mergeCell ref="B10:B11"/>
    <mergeCell ref="C10:C11"/>
    <mergeCell ref="D10:D11"/>
    <mergeCell ref="E10:P10"/>
    <mergeCell ref="Q10:Q11"/>
    <mergeCell ref="R10:R11"/>
    <mergeCell ref="S10:U10"/>
    <mergeCell ref="B22:B23"/>
    <mergeCell ref="B12:B14"/>
  </mergeCells>
  <phoneticPr fontId="12" type="noConversion"/>
  <printOptions horizontalCentered="1"/>
  <pageMargins left="0.39370078740157483" right="0.78740157480314965" top="0.59055118110236227" bottom="0.19685039370078741" header="0" footer="0"/>
  <pageSetup paperSize="119" scale="76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2"/>
  <sheetViews>
    <sheetView zoomScale="98" zoomScaleNormal="98" workbookViewId="0">
      <pane ySplit="12" topLeftCell="A41" activePane="bottomLeft" state="frozen"/>
      <selection pane="bottomLeft" activeCell="F4" sqref="F4"/>
    </sheetView>
  </sheetViews>
  <sheetFormatPr baseColWidth="10" defaultRowHeight="12.75" x14ac:dyDescent="0.2"/>
  <cols>
    <col min="1" max="1" width="6.7109375" style="8" customWidth="1"/>
    <col min="2" max="2" width="23.28515625" style="6" customWidth="1"/>
    <col min="3" max="3" width="11.42578125" style="7" customWidth="1"/>
    <col min="4" max="4" width="15.85546875" style="7" customWidth="1"/>
    <col min="5" max="16" width="2.42578125" style="7" customWidth="1"/>
    <col min="17" max="17" width="16.140625" style="8" customWidth="1"/>
    <col min="18" max="18" width="15.42578125" style="7" customWidth="1"/>
    <col min="19" max="19" width="8.42578125" style="8" customWidth="1"/>
    <col min="20" max="20" width="15.140625" style="8" bestFit="1" customWidth="1"/>
    <col min="21" max="21" width="22.140625" style="8" customWidth="1"/>
  </cols>
  <sheetData>
    <row r="1" spans="1:21" s="2" customFormat="1" ht="18" x14ac:dyDescent="0.25">
      <c r="A1" s="769" t="s">
        <v>19</v>
      </c>
      <c r="B1" s="769"/>
      <c r="C1" s="769"/>
      <c r="D1" s="769"/>
      <c r="E1" s="769"/>
      <c r="F1" s="769"/>
      <c r="G1" s="769"/>
      <c r="H1" s="769"/>
      <c r="I1" s="769"/>
      <c r="J1" s="769"/>
      <c r="K1" s="769"/>
      <c r="L1" s="769"/>
      <c r="M1" s="769"/>
      <c r="N1" s="769"/>
      <c r="O1" s="769"/>
      <c r="P1" s="769"/>
      <c r="Q1" s="769"/>
      <c r="R1" s="769"/>
      <c r="S1" s="769"/>
      <c r="T1" s="769"/>
      <c r="U1" s="769"/>
    </row>
    <row r="2" spans="1:21" s="2" customFormat="1" ht="18" x14ac:dyDescent="0.25">
      <c r="A2" s="769" t="str">
        <f>RRI!A2:U2</f>
        <v>PLAN OPERATIVO ANUAL 2021</v>
      </c>
      <c r="B2" s="769"/>
      <c r="C2" s="769"/>
      <c r="D2" s="769"/>
      <c r="E2" s="769"/>
      <c r="F2" s="769"/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69"/>
      <c r="S2" s="769"/>
      <c r="T2" s="769"/>
      <c r="U2" s="769"/>
    </row>
    <row r="3" spans="1:21" s="2" customFormat="1" ht="15.75" customHeight="1" x14ac:dyDescent="0.25">
      <c r="A3" s="769" t="str">
        <f>RRI!A3:U3</f>
        <v>PARQUE NACIONAL SIERRA DEL LACANDÓN, RESERVA DE BIOSFERA MAYA</v>
      </c>
      <c r="B3" s="769"/>
      <c r="C3" s="769"/>
      <c r="D3" s="769"/>
      <c r="E3" s="769"/>
      <c r="F3" s="769"/>
      <c r="G3" s="769"/>
      <c r="H3" s="769"/>
      <c r="I3" s="769"/>
      <c r="J3" s="769"/>
      <c r="K3" s="769"/>
      <c r="L3" s="769"/>
      <c r="M3" s="769"/>
      <c r="N3" s="769"/>
      <c r="O3" s="769"/>
      <c r="P3" s="769"/>
      <c r="Q3" s="769"/>
      <c r="R3" s="769"/>
      <c r="S3" s="769"/>
      <c r="T3" s="769"/>
      <c r="U3" s="769"/>
    </row>
    <row r="4" spans="1:21" s="2" customFormat="1" ht="15.75" customHeigh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</row>
    <row r="5" spans="1:21" s="2" customFormat="1" ht="12.75" customHeight="1" x14ac:dyDescent="0.25">
      <c r="A5" s="769"/>
      <c r="B5" s="769"/>
      <c r="C5" s="769"/>
      <c r="D5" s="769"/>
      <c r="E5" s="769"/>
      <c r="F5" s="769"/>
      <c r="G5" s="769"/>
      <c r="H5" s="769"/>
      <c r="I5" s="769"/>
      <c r="J5" s="769"/>
      <c r="K5" s="769"/>
      <c r="L5" s="769"/>
      <c r="M5" s="769"/>
      <c r="N5" s="769"/>
      <c r="O5" s="769"/>
      <c r="P5" s="769"/>
      <c r="Q5" s="769"/>
      <c r="R5" s="215"/>
      <c r="S5" s="215"/>
      <c r="T5" s="215"/>
      <c r="U5" s="215"/>
    </row>
    <row r="6" spans="1:21" ht="18" x14ac:dyDescent="0.25">
      <c r="A6" s="222" t="str">
        <f>MR!A27</f>
        <v>1. Linea de acción: Conservacion del area protegida y su biodiversidad</v>
      </c>
      <c r="B6" s="222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19"/>
      <c r="T6" s="219"/>
      <c r="U6" s="219"/>
    </row>
    <row r="7" spans="1:21" ht="18" x14ac:dyDescent="0.2">
      <c r="A7" s="817" t="s">
        <v>408</v>
      </c>
      <c r="B7" s="817"/>
      <c r="C7" s="817"/>
      <c r="D7" s="817"/>
      <c r="E7" s="817"/>
      <c r="F7" s="817"/>
      <c r="G7" s="817"/>
      <c r="H7" s="817"/>
      <c r="I7" s="817"/>
      <c r="J7" s="817"/>
      <c r="K7" s="817"/>
      <c r="L7" s="817"/>
      <c r="M7" s="817"/>
      <c r="N7" s="817"/>
      <c r="O7" s="817"/>
      <c r="P7" s="817"/>
      <c r="Q7" s="817"/>
      <c r="R7" s="817"/>
      <c r="S7" s="817"/>
      <c r="T7" s="817"/>
      <c r="U7" s="817"/>
    </row>
    <row r="8" spans="1:21" ht="18" x14ac:dyDescent="0.2">
      <c r="A8" s="899" t="s">
        <v>470</v>
      </c>
      <c r="B8" s="899"/>
      <c r="C8" s="899"/>
      <c r="D8" s="899"/>
      <c r="E8" s="899"/>
      <c r="F8" s="899"/>
      <c r="G8" s="899"/>
      <c r="H8" s="899"/>
      <c r="I8" s="899"/>
      <c r="J8" s="899"/>
      <c r="K8" s="899"/>
      <c r="L8" s="899"/>
      <c r="M8" s="899"/>
      <c r="N8" s="899"/>
      <c r="O8" s="899"/>
      <c r="P8" s="899"/>
      <c r="Q8" s="899"/>
      <c r="R8" s="899"/>
      <c r="S8" s="899"/>
      <c r="T8" s="899"/>
      <c r="U8" s="899"/>
    </row>
    <row r="9" spans="1:21" ht="49.5" customHeight="1" x14ac:dyDescent="0.2">
      <c r="A9" s="889" t="s">
        <v>243</v>
      </c>
      <c r="B9" s="889"/>
      <c r="C9" s="889"/>
      <c r="D9" s="889"/>
      <c r="E9" s="889"/>
      <c r="F9" s="889"/>
      <c r="G9" s="889"/>
      <c r="H9" s="889"/>
      <c r="I9" s="889"/>
      <c r="J9" s="889"/>
      <c r="K9" s="889"/>
      <c r="L9" s="889"/>
      <c r="M9" s="889"/>
      <c r="N9" s="889"/>
      <c r="O9" s="889"/>
      <c r="P9" s="889"/>
      <c r="Q9" s="889"/>
      <c r="R9" s="889"/>
      <c r="S9" s="889"/>
      <c r="T9" s="889"/>
      <c r="U9" s="889"/>
    </row>
    <row r="10" spans="1:21" ht="13.5" thickBot="1" x14ac:dyDescent="0.25"/>
    <row r="11" spans="1:21" s="3" customFormat="1" x14ac:dyDescent="0.2">
      <c r="A11" s="833" t="s">
        <v>14</v>
      </c>
      <c r="B11" s="827" t="s">
        <v>392</v>
      </c>
      <c r="C11" s="827" t="s">
        <v>20</v>
      </c>
      <c r="D11" s="827" t="s">
        <v>0</v>
      </c>
      <c r="E11" s="830" t="s">
        <v>17</v>
      </c>
      <c r="F11" s="772"/>
      <c r="G11" s="772"/>
      <c r="H11" s="772"/>
      <c r="I11" s="772"/>
      <c r="J11" s="772"/>
      <c r="K11" s="772"/>
      <c r="L11" s="772"/>
      <c r="M11" s="772"/>
      <c r="N11" s="772"/>
      <c r="O11" s="772"/>
      <c r="P11" s="831"/>
      <c r="Q11" s="827" t="s">
        <v>10</v>
      </c>
      <c r="R11" s="827" t="s">
        <v>11</v>
      </c>
      <c r="S11" s="832" t="s">
        <v>12</v>
      </c>
      <c r="T11" s="751"/>
      <c r="U11" s="752"/>
    </row>
    <row r="12" spans="1:21" s="17" customFormat="1" ht="13.5" thickBot="1" x14ac:dyDescent="0.25">
      <c r="A12" s="867"/>
      <c r="B12" s="868"/>
      <c r="C12" s="868"/>
      <c r="D12" s="868"/>
      <c r="E12" s="123" t="s">
        <v>1</v>
      </c>
      <c r="F12" s="66" t="s">
        <v>2</v>
      </c>
      <c r="G12" s="66" t="s">
        <v>3</v>
      </c>
      <c r="H12" s="66" t="s">
        <v>4</v>
      </c>
      <c r="I12" s="66" t="s">
        <v>3</v>
      </c>
      <c r="J12" s="66" t="s">
        <v>5</v>
      </c>
      <c r="K12" s="66" t="s">
        <v>5</v>
      </c>
      <c r="L12" s="66" t="s">
        <v>4</v>
      </c>
      <c r="M12" s="66" t="s">
        <v>6</v>
      </c>
      <c r="N12" s="66" t="s">
        <v>7</v>
      </c>
      <c r="O12" s="66" t="s">
        <v>8</v>
      </c>
      <c r="P12" s="124" t="s">
        <v>9</v>
      </c>
      <c r="Q12" s="868"/>
      <c r="R12" s="868"/>
      <c r="S12" s="125" t="s">
        <v>21</v>
      </c>
      <c r="T12" s="28" t="s">
        <v>18</v>
      </c>
      <c r="U12" s="68" t="s">
        <v>13</v>
      </c>
    </row>
    <row r="13" spans="1:21" ht="81" customHeight="1" x14ac:dyDescent="0.2">
      <c r="A13" s="880" t="s">
        <v>110</v>
      </c>
      <c r="B13" s="894" t="s">
        <v>382</v>
      </c>
      <c r="C13" s="882" t="s">
        <v>31</v>
      </c>
      <c r="D13" s="166" t="s">
        <v>381</v>
      </c>
      <c r="E13" s="126" t="s">
        <v>32</v>
      </c>
      <c r="F13" s="126" t="s">
        <v>32</v>
      </c>
      <c r="G13" s="126" t="s">
        <v>32</v>
      </c>
      <c r="H13" s="126" t="s">
        <v>32</v>
      </c>
      <c r="I13" s="126" t="s">
        <v>32</v>
      </c>
      <c r="J13" s="126" t="s">
        <v>32</v>
      </c>
      <c r="K13" s="126" t="s">
        <v>32</v>
      </c>
      <c r="L13" s="126" t="s">
        <v>32</v>
      </c>
      <c r="M13" s="126" t="s">
        <v>32</v>
      </c>
      <c r="N13" s="126" t="s">
        <v>32</v>
      </c>
      <c r="O13" s="126" t="s">
        <v>32</v>
      </c>
      <c r="P13" s="126" t="s">
        <v>32</v>
      </c>
      <c r="Q13" s="201" t="s">
        <v>175</v>
      </c>
      <c r="R13" s="126" t="s">
        <v>53</v>
      </c>
      <c r="S13" s="104"/>
      <c r="T13" s="246">
        <f>PST!J564</f>
        <v>34710.519999999997</v>
      </c>
      <c r="U13" s="884">
        <f>SUM(T13:T17)</f>
        <v>215234.12</v>
      </c>
    </row>
    <row r="14" spans="1:21" ht="114.75" x14ac:dyDescent="0.2">
      <c r="A14" s="881"/>
      <c r="B14" s="806"/>
      <c r="C14" s="883"/>
      <c r="D14" s="168" t="s">
        <v>383</v>
      </c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201" t="s">
        <v>402</v>
      </c>
      <c r="R14" s="201" t="s">
        <v>403</v>
      </c>
      <c r="S14" s="104"/>
      <c r="T14" s="246">
        <f>PST!J572</f>
        <v>16663.599999999999</v>
      </c>
      <c r="U14" s="885"/>
    </row>
    <row r="15" spans="1:21" ht="114" customHeight="1" x14ac:dyDescent="0.2">
      <c r="A15" s="900">
        <v>6.2</v>
      </c>
      <c r="B15" s="890" t="s">
        <v>409</v>
      </c>
      <c r="C15" s="49" t="s">
        <v>31</v>
      </c>
      <c r="D15" s="166" t="s">
        <v>385</v>
      </c>
      <c r="E15" s="33" t="s">
        <v>32</v>
      </c>
      <c r="F15" s="33" t="s">
        <v>32</v>
      </c>
      <c r="G15" s="33" t="s">
        <v>32</v>
      </c>
      <c r="H15" s="33" t="s">
        <v>32</v>
      </c>
      <c r="I15" s="33" t="s">
        <v>32</v>
      </c>
      <c r="J15" s="33" t="s">
        <v>32</v>
      </c>
      <c r="K15" s="33" t="s">
        <v>32</v>
      </c>
      <c r="L15" s="33" t="s">
        <v>32</v>
      </c>
      <c r="M15" s="33" t="s">
        <v>32</v>
      </c>
      <c r="N15" s="33" t="s">
        <v>32</v>
      </c>
      <c r="O15" s="33" t="s">
        <v>32</v>
      </c>
      <c r="P15" s="33" t="s">
        <v>32</v>
      </c>
      <c r="Q15" s="126" t="s">
        <v>125</v>
      </c>
      <c r="R15" s="33" t="s">
        <v>54</v>
      </c>
      <c r="S15" s="31"/>
      <c r="T15" s="246">
        <f>PST!J576</f>
        <v>22180</v>
      </c>
      <c r="U15" s="885"/>
    </row>
    <row r="16" spans="1:21" ht="126.75" customHeight="1" x14ac:dyDescent="0.2">
      <c r="A16" s="881"/>
      <c r="B16" s="891"/>
      <c r="C16" s="49" t="s">
        <v>31</v>
      </c>
      <c r="D16" s="166" t="s">
        <v>384</v>
      </c>
      <c r="E16" s="33"/>
      <c r="F16" s="33" t="s">
        <v>146</v>
      </c>
      <c r="G16" s="33" t="s">
        <v>146</v>
      </c>
      <c r="H16" s="33" t="s">
        <v>146</v>
      </c>
      <c r="I16" s="33" t="s">
        <v>146</v>
      </c>
      <c r="J16" s="33" t="s">
        <v>146</v>
      </c>
      <c r="K16" s="33" t="s">
        <v>146</v>
      </c>
      <c r="L16" s="33" t="s">
        <v>146</v>
      </c>
      <c r="M16" s="33" t="s">
        <v>146</v>
      </c>
      <c r="N16" s="33" t="s">
        <v>146</v>
      </c>
      <c r="O16" s="33" t="s">
        <v>146</v>
      </c>
      <c r="P16" s="33"/>
      <c r="Q16" s="201" t="s">
        <v>209</v>
      </c>
      <c r="R16" s="198" t="s">
        <v>210</v>
      </c>
      <c r="S16" s="31"/>
      <c r="T16" s="246">
        <f>PST!J582</f>
        <v>22180</v>
      </c>
      <c r="U16" s="885"/>
    </row>
    <row r="17" spans="1:21" ht="79.5" customHeight="1" x14ac:dyDescent="0.2">
      <c r="A17" s="128">
        <v>6.3</v>
      </c>
      <c r="B17" s="198" t="s">
        <v>181</v>
      </c>
      <c r="C17" s="33" t="s">
        <v>31</v>
      </c>
      <c r="D17" s="180" t="s">
        <v>111</v>
      </c>
      <c r="E17" s="33" t="s">
        <v>32</v>
      </c>
      <c r="F17" s="33" t="s">
        <v>32</v>
      </c>
      <c r="G17" s="33" t="s">
        <v>32</v>
      </c>
      <c r="H17" s="33" t="s">
        <v>32</v>
      </c>
      <c r="I17" s="33" t="s">
        <v>32</v>
      </c>
      <c r="J17" s="33" t="s">
        <v>32</v>
      </c>
      <c r="K17" s="33" t="s">
        <v>32</v>
      </c>
      <c r="L17" s="33" t="s">
        <v>32</v>
      </c>
      <c r="M17" s="33" t="s">
        <v>32</v>
      </c>
      <c r="N17" s="33" t="s">
        <v>32</v>
      </c>
      <c r="O17" s="33" t="s">
        <v>32</v>
      </c>
      <c r="P17" s="33" t="s">
        <v>32</v>
      </c>
      <c r="Q17" s="126" t="s">
        <v>125</v>
      </c>
      <c r="R17" s="33" t="s">
        <v>55</v>
      </c>
      <c r="S17" s="31"/>
      <c r="T17" s="246">
        <f>PST!J588</f>
        <v>119500</v>
      </c>
      <c r="U17" s="886"/>
    </row>
    <row r="18" spans="1:21" s="64" customFormat="1" ht="26.25" customHeight="1" thickBot="1" x14ac:dyDescent="0.25">
      <c r="A18" s="774" t="s">
        <v>112</v>
      </c>
      <c r="B18" s="775"/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6"/>
      <c r="U18" s="111">
        <f>SUM(T13:T17)</f>
        <v>215234.12</v>
      </c>
    </row>
    <row r="19" spans="1:21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 s="56"/>
      <c r="U19"/>
    </row>
    <row r="20" spans="1:21" ht="15" x14ac:dyDescent="0.2">
      <c r="A20" s="115" t="str">
        <f>MR!A27</f>
        <v>1. Linea de acción: Conservacion del area protegida y su biodiversidad</v>
      </c>
      <c r="B20" s="115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7"/>
      <c r="T20" s="97"/>
      <c r="U20" s="97"/>
    </row>
    <row r="21" spans="1:21" ht="15" x14ac:dyDescent="0.2">
      <c r="A21" s="829" t="s">
        <v>408</v>
      </c>
      <c r="B21" s="829"/>
      <c r="C21" s="829"/>
      <c r="D21" s="829"/>
      <c r="E21" s="829"/>
      <c r="F21" s="829"/>
      <c r="G21" s="829"/>
      <c r="H21" s="829"/>
      <c r="I21" s="829"/>
      <c r="J21" s="829"/>
      <c r="K21" s="829"/>
      <c r="L21" s="829"/>
      <c r="M21" s="829"/>
      <c r="N21" s="829"/>
      <c r="O21" s="829"/>
      <c r="P21" s="829"/>
      <c r="Q21" s="829"/>
      <c r="R21" s="829"/>
      <c r="S21" s="829"/>
      <c r="T21" s="829"/>
      <c r="U21" s="829"/>
    </row>
    <row r="22" spans="1:21" ht="15" x14ac:dyDescent="0.2">
      <c r="A22" s="829" t="s">
        <v>56</v>
      </c>
      <c r="B22" s="829"/>
      <c r="C22" s="829"/>
      <c r="D22" s="829"/>
      <c r="E22" s="829"/>
      <c r="F22" s="829"/>
      <c r="G22" s="829"/>
      <c r="H22" s="829"/>
      <c r="I22" s="829"/>
      <c r="J22" s="829"/>
      <c r="K22" s="829"/>
      <c r="L22" s="829"/>
      <c r="M22" s="829"/>
      <c r="N22" s="829"/>
      <c r="O22" s="829"/>
      <c r="P22" s="829"/>
      <c r="Q22" s="829"/>
      <c r="R22" s="829"/>
      <c r="S22" s="829"/>
      <c r="T22" s="829"/>
      <c r="U22" s="829"/>
    </row>
    <row r="23" spans="1:21" ht="18.95" customHeight="1" x14ac:dyDescent="0.2">
      <c r="A23" s="835" t="s">
        <v>57</v>
      </c>
      <c r="B23" s="835"/>
      <c r="C23" s="835"/>
      <c r="D23" s="835"/>
      <c r="E23" s="835"/>
      <c r="F23" s="835"/>
      <c r="G23" s="835"/>
      <c r="H23" s="835"/>
      <c r="I23" s="835"/>
      <c r="J23" s="835"/>
      <c r="K23" s="835"/>
      <c r="L23" s="835"/>
      <c r="M23" s="835"/>
      <c r="N23" s="835"/>
      <c r="O23" s="835"/>
      <c r="P23" s="835"/>
      <c r="Q23" s="835"/>
      <c r="R23" s="835"/>
      <c r="S23" s="835"/>
      <c r="T23" s="835"/>
      <c r="U23" s="835"/>
    </row>
    <row r="24" spans="1:21" ht="13.5" thickBot="1" x14ac:dyDescent="0.25"/>
    <row r="25" spans="1:21" s="3" customFormat="1" x14ac:dyDescent="0.2">
      <c r="A25" s="833" t="s">
        <v>14</v>
      </c>
      <c r="B25" s="827" t="s">
        <v>392</v>
      </c>
      <c r="C25" s="827" t="s">
        <v>20</v>
      </c>
      <c r="D25" s="827" t="s">
        <v>0</v>
      </c>
      <c r="E25" s="830" t="s">
        <v>17</v>
      </c>
      <c r="F25" s="772"/>
      <c r="G25" s="772"/>
      <c r="H25" s="772"/>
      <c r="I25" s="772"/>
      <c r="J25" s="772"/>
      <c r="K25" s="772"/>
      <c r="L25" s="772"/>
      <c r="M25" s="772"/>
      <c r="N25" s="772"/>
      <c r="O25" s="772"/>
      <c r="P25" s="831"/>
      <c r="Q25" s="827" t="s">
        <v>10</v>
      </c>
      <c r="R25" s="827" t="s">
        <v>11</v>
      </c>
      <c r="S25" s="832" t="s">
        <v>12</v>
      </c>
      <c r="T25" s="751"/>
      <c r="U25" s="752"/>
    </row>
    <row r="26" spans="1:21" s="17" customFormat="1" ht="13.5" customHeight="1" thickBot="1" x14ac:dyDescent="0.25">
      <c r="A26" s="867"/>
      <c r="B26" s="868"/>
      <c r="C26" s="828"/>
      <c r="D26" s="868"/>
      <c r="E26" s="123" t="s">
        <v>1</v>
      </c>
      <c r="F26" s="66" t="s">
        <v>2</v>
      </c>
      <c r="G26" s="66" t="s">
        <v>3</v>
      </c>
      <c r="H26" s="66" t="s">
        <v>4</v>
      </c>
      <c r="I26" s="66" t="s">
        <v>3</v>
      </c>
      <c r="J26" s="66" t="s">
        <v>5</v>
      </c>
      <c r="K26" s="66" t="s">
        <v>5</v>
      </c>
      <c r="L26" s="66" t="s">
        <v>4</v>
      </c>
      <c r="M26" s="66" t="s">
        <v>6</v>
      </c>
      <c r="N26" s="66" t="s">
        <v>7</v>
      </c>
      <c r="O26" s="66" t="s">
        <v>8</v>
      </c>
      <c r="P26" s="124" t="s">
        <v>9</v>
      </c>
      <c r="Q26" s="868"/>
      <c r="R26" s="868"/>
      <c r="S26" s="125" t="s">
        <v>21</v>
      </c>
      <c r="T26" s="28" t="s">
        <v>18</v>
      </c>
      <c r="U26" s="68" t="s">
        <v>13</v>
      </c>
    </row>
    <row r="27" spans="1:21" ht="165.75" x14ac:dyDescent="0.2">
      <c r="A27" s="897">
        <v>6.1</v>
      </c>
      <c r="B27" s="895" t="s">
        <v>471</v>
      </c>
      <c r="C27" s="619" t="s">
        <v>154</v>
      </c>
      <c r="D27" s="201" t="s">
        <v>472</v>
      </c>
      <c r="E27" s="126" t="s">
        <v>32</v>
      </c>
      <c r="F27" s="126" t="s">
        <v>32</v>
      </c>
      <c r="G27" s="126" t="s">
        <v>32</v>
      </c>
      <c r="H27" s="126" t="s">
        <v>32</v>
      </c>
      <c r="I27" s="126" t="s">
        <v>32</v>
      </c>
      <c r="J27" s="126" t="s">
        <v>32</v>
      </c>
      <c r="K27" s="126" t="s">
        <v>32</v>
      </c>
      <c r="L27" s="126" t="s">
        <v>32</v>
      </c>
      <c r="M27" s="126" t="s">
        <v>32</v>
      </c>
      <c r="N27" s="126" t="s">
        <v>32</v>
      </c>
      <c r="O27" s="126" t="s">
        <v>32</v>
      </c>
      <c r="P27" s="126" t="s">
        <v>32</v>
      </c>
      <c r="Q27" s="195" t="s">
        <v>176</v>
      </c>
      <c r="R27" s="126" t="s">
        <v>83</v>
      </c>
      <c r="S27" s="131"/>
      <c r="T27" s="246">
        <f>PST!J593</f>
        <v>144880</v>
      </c>
      <c r="U27" s="884">
        <f>SUM(T27:T29)</f>
        <v>855618</v>
      </c>
    </row>
    <row r="28" spans="1:21" ht="170.25" customHeight="1" x14ac:dyDescent="0.2">
      <c r="A28" s="898"/>
      <c r="B28" s="896"/>
      <c r="C28" s="620" t="s">
        <v>31</v>
      </c>
      <c r="D28" s="180" t="s">
        <v>478</v>
      </c>
      <c r="E28" s="33" t="s">
        <v>32</v>
      </c>
      <c r="F28" s="33" t="s">
        <v>32</v>
      </c>
      <c r="G28" s="33" t="s">
        <v>32</v>
      </c>
      <c r="H28" s="33" t="s">
        <v>32</v>
      </c>
      <c r="I28" s="33" t="s">
        <v>32</v>
      </c>
      <c r="J28" s="33" t="s">
        <v>32</v>
      </c>
      <c r="K28" s="33" t="s">
        <v>32</v>
      </c>
      <c r="L28" s="33" t="s">
        <v>32</v>
      </c>
      <c r="M28" s="33" t="s">
        <v>32</v>
      </c>
      <c r="N28" s="33" t="s">
        <v>32</v>
      </c>
      <c r="O28" s="33" t="s">
        <v>32</v>
      </c>
      <c r="P28" s="33" t="s">
        <v>32</v>
      </c>
      <c r="Q28" s="33" t="s">
        <v>126</v>
      </c>
      <c r="R28" s="33" t="s">
        <v>83</v>
      </c>
      <c r="S28" s="892"/>
      <c r="T28" s="246">
        <f>+PST!J602</f>
        <v>360918</v>
      </c>
      <c r="U28" s="887"/>
    </row>
    <row r="29" spans="1:21" ht="92.25" customHeight="1" x14ac:dyDescent="0.2">
      <c r="A29" s="898"/>
      <c r="B29" s="896"/>
      <c r="C29" s="620" t="s">
        <v>31</v>
      </c>
      <c r="D29" s="180" t="s">
        <v>479</v>
      </c>
      <c r="E29" s="33" t="s">
        <v>32</v>
      </c>
      <c r="F29" s="33" t="s">
        <v>32</v>
      </c>
      <c r="G29" s="33" t="s">
        <v>32</v>
      </c>
      <c r="H29" s="33" t="s">
        <v>32</v>
      </c>
      <c r="I29" s="33" t="s">
        <v>32</v>
      </c>
      <c r="J29" s="33" t="s">
        <v>32</v>
      </c>
      <c r="K29" s="33" t="s">
        <v>32</v>
      </c>
      <c r="L29" s="33" t="s">
        <v>32</v>
      </c>
      <c r="M29" s="33" t="s">
        <v>32</v>
      </c>
      <c r="N29" s="33" t="s">
        <v>32</v>
      </c>
      <c r="O29" s="33" t="s">
        <v>32</v>
      </c>
      <c r="P29" s="33" t="s">
        <v>32</v>
      </c>
      <c r="Q29" s="213" t="s">
        <v>126</v>
      </c>
      <c r="R29" s="213" t="s">
        <v>127</v>
      </c>
      <c r="S29" s="893"/>
      <c r="T29" s="246">
        <f>+PST!J611</f>
        <v>349820</v>
      </c>
      <c r="U29" s="888"/>
    </row>
    <row r="30" spans="1:21" s="64" customFormat="1" ht="26.25" customHeight="1" thickBot="1" x14ac:dyDescent="0.25">
      <c r="A30" s="774" t="s">
        <v>112</v>
      </c>
      <c r="B30" s="775"/>
      <c r="C30" s="775"/>
      <c r="D30" s="775"/>
      <c r="E30" s="775"/>
      <c r="F30" s="775"/>
      <c r="G30" s="775"/>
      <c r="H30" s="775"/>
      <c r="I30" s="775"/>
      <c r="J30" s="775"/>
      <c r="K30" s="775"/>
      <c r="L30" s="775"/>
      <c r="M30" s="775"/>
      <c r="N30" s="775"/>
      <c r="O30" s="775"/>
      <c r="P30" s="775"/>
      <c r="Q30" s="775"/>
      <c r="R30" s="775"/>
      <c r="S30" s="775"/>
      <c r="T30" s="776"/>
      <c r="U30" s="111">
        <f>+SUM(T27:T29)</f>
        <v>855618</v>
      </c>
    </row>
    <row r="31" spans="1:2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 s="56"/>
      <c r="U31"/>
    </row>
    <row r="32" spans="1:2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 s="56"/>
      <c r="U32"/>
    </row>
    <row r="33" spans="1:21" x14ac:dyDescent="0.2">
      <c r="A33" s="20" t="str">
        <f>MR!A27</f>
        <v>1. Linea de acción: Conservacion del area protegida y su biodiversidad</v>
      </c>
      <c r="B33" s="20"/>
      <c r="Q33" s="7"/>
    </row>
    <row r="34" spans="1:21" x14ac:dyDescent="0.2">
      <c r="A34" s="863" t="s">
        <v>408</v>
      </c>
      <c r="B34" s="864"/>
      <c r="C34" s="864"/>
      <c r="D34" s="864"/>
      <c r="E34" s="864"/>
      <c r="F34" s="864"/>
      <c r="G34" s="864"/>
      <c r="H34" s="864"/>
      <c r="I34" s="864"/>
      <c r="J34" s="864"/>
      <c r="K34" s="864"/>
      <c r="L34" s="864"/>
      <c r="M34" s="864"/>
      <c r="N34" s="864"/>
      <c r="O34" s="864"/>
      <c r="P34" s="864"/>
      <c r="Q34" s="864"/>
      <c r="R34" s="864"/>
      <c r="S34" s="864"/>
      <c r="T34" s="864"/>
      <c r="U34" s="864"/>
    </row>
    <row r="35" spans="1:21" x14ac:dyDescent="0.2">
      <c r="A35" s="863" t="s">
        <v>473</v>
      </c>
      <c r="B35" s="864"/>
      <c r="C35" s="864"/>
      <c r="D35" s="864"/>
      <c r="E35" s="864"/>
      <c r="F35" s="864"/>
      <c r="G35" s="864"/>
      <c r="H35" s="864"/>
      <c r="I35" s="864"/>
      <c r="J35" s="864"/>
      <c r="K35" s="864"/>
      <c r="L35" s="864"/>
      <c r="M35" s="864"/>
      <c r="N35" s="864"/>
      <c r="O35" s="864"/>
      <c r="P35" s="864"/>
      <c r="Q35" s="864"/>
      <c r="R35" s="864"/>
      <c r="S35" s="864"/>
      <c r="T35" s="864"/>
      <c r="U35" s="864"/>
    </row>
    <row r="36" spans="1:21" ht="28.5" customHeight="1" thickBot="1" x14ac:dyDescent="0.25">
      <c r="A36" s="901" t="s">
        <v>153</v>
      </c>
      <c r="B36" s="901"/>
      <c r="C36" s="901"/>
      <c r="D36" s="901"/>
      <c r="E36" s="901"/>
      <c r="F36" s="901"/>
      <c r="G36" s="901"/>
      <c r="H36" s="901"/>
      <c r="I36" s="901"/>
      <c r="J36" s="901"/>
      <c r="K36" s="901"/>
      <c r="L36" s="901"/>
      <c r="M36" s="901"/>
      <c r="N36" s="901"/>
      <c r="O36" s="901"/>
      <c r="P36" s="901"/>
      <c r="Q36" s="901"/>
      <c r="R36" s="901"/>
      <c r="S36" s="901"/>
      <c r="T36" s="901"/>
      <c r="U36" s="901"/>
    </row>
    <row r="37" spans="1:21" s="3" customFormat="1" x14ac:dyDescent="0.2">
      <c r="A37" s="833" t="s">
        <v>14</v>
      </c>
      <c r="B37" s="827" t="s">
        <v>392</v>
      </c>
      <c r="C37" s="827" t="s">
        <v>20</v>
      </c>
      <c r="D37" s="827" t="s">
        <v>0</v>
      </c>
      <c r="E37" s="830" t="s">
        <v>17</v>
      </c>
      <c r="F37" s="772"/>
      <c r="G37" s="772"/>
      <c r="H37" s="772"/>
      <c r="I37" s="772"/>
      <c r="J37" s="772"/>
      <c r="K37" s="772"/>
      <c r="L37" s="772"/>
      <c r="M37" s="772"/>
      <c r="N37" s="772"/>
      <c r="O37" s="772"/>
      <c r="P37" s="831"/>
      <c r="Q37" s="827" t="s">
        <v>10</v>
      </c>
      <c r="R37" s="827" t="s">
        <v>11</v>
      </c>
      <c r="S37" s="832" t="s">
        <v>12</v>
      </c>
      <c r="T37" s="751"/>
      <c r="U37" s="752"/>
    </row>
    <row r="38" spans="1:21" s="17" customFormat="1" ht="13.5" customHeight="1" thickBot="1" x14ac:dyDescent="0.25">
      <c r="A38" s="867"/>
      <c r="B38" s="868"/>
      <c r="C38" s="868"/>
      <c r="D38" s="868"/>
      <c r="E38" s="123" t="s">
        <v>1</v>
      </c>
      <c r="F38" s="66" t="s">
        <v>2</v>
      </c>
      <c r="G38" s="66" t="s">
        <v>3</v>
      </c>
      <c r="H38" s="66" t="s">
        <v>4</v>
      </c>
      <c r="I38" s="66" t="s">
        <v>3</v>
      </c>
      <c r="J38" s="66" t="s">
        <v>5</v>
      </c>
      <c r="K38" s="66" t="s">
        <v>5</v>
      </c>
      <c r="L38" s="66" t="s">
        <v>4</v>
      </c>
      <c r="M38" s="66" t="s">
        <v>6</v>
      </c>
      <c r="N38" s="66" t="s">
        <v>7</v>
      </c>
      <c r="O38" s="66" t="s">
        <v>8</v>
      </c>
      <c r="P38" s="124" t="s">
        <v>9</v>
      </c>
      <c r="Q38" s="868"/>
      <c r="R38" s="868"/>
      <c r="S38" s="125" t="s">
        <v>21</v>
      </c>
      <c r="T38" s="67" t="s">
        <v>18</v>
      </c>
      <c r="U38" s="68" t="s">
        <v>13</v>
      </c>
    </row>
    <row r="39" spans="1:21" ht="90.75" customHeight="1" x14ac:dyDescent="0.2">
      <c r="A39" s="902">
        <v>6.2</v>
      </c>
      <c r="B39" s="201" t="s">
        <v>474</v>
      </c>
      <c r="C39" s="126" t="s">
        <v>31</v>
      </c>
      <c r="D39" s="201" t="s">
        <v>476</v>
      </c>
      <c r="E39" s="126" t="s">
        <v>32</v>
      </c>
      <c r="F39" s="126" t="s">
        <v>32</v>
      </c>
      <c r="G39" s="126" t="s">
        <v>32</v>
      </c>
      <c r="H39" s="126" t="s">
        <v>32</v>
      </c>
      <c r="I39" s="126" t="s">
        <v>32</v>
      </c>
      <c r="J39" s="126" t="s">
        <v>32</v>
      </c>
      <c r="K39" s="126" t="s">
        <v>32</v>
      </c>
      <c r="L39" s="126" t="s">
        <v>32</v>
      </c>
      <c r="M39" s="126" t="s">
        <v>32</v>
      </c>
      <c r="N39" s="126" t="s">
        <v>32</v>
      </c>
      <c r="O39" s="126" t="s">
        <v>32</v>
      </c>
      <c r="P39" s="126" t="s">
        <v>32</v>
      </c>
      <c r="Q39" s="73" t="s">
        <v>126</v>
      </c>
      <c r="R39" s="126" t="s">
        <v>58</v>
      </c>
      <c r="S39" s="104"/>
      <c r="T39" s="245">
        <f>PST!J623</f>
        <v>219734</v>
      </c>
      <c r="U39" s="884">
        <f>SUM(T39:T40)</f>
        <v>265905.66666666669</v>
      </c>
    </row>
    <row r="40" spans="1:21" ht="122.25" customHeight="1" x14ac:dyDescent="0.2">
      <c r="A40" s="903"/>
      <c r="B40" s="180" t="s">
        <v>475</v>
      </c>
      <c r="C40" s="33" t="s">
        <v>31</v>
      </c>
      <c r="D40" s="180" t="s">
        <v>477</v>
      </c>
      <c r="E40" s="33" t="s">
        <v>32</v>
      </c>
      <c r="F40" s="33" t="s">
        <v>32</v>
      </c>
      <c r="G40" s="33" t="s">
        <v>32</v>
      </c>
      <c r="H40" s="33" t="s">
        <v>32</v>
      </c>
      <c r="I40" s="33" t="s">
        <v>32</v>
      </c>
      <c r="J40" s="33" t="s">
        <v>32</v>
      </c>
      <c r="K40" s="33" t="s">
        <v>32</v>
      </c>
      <c r="L40" s="33" t="s">
        <v>32</v>
      </c>
      <c r="M40" s="33" t="s">
        <v>32</v>
      </c>
      <c r="N40" s="33" t="s">
        <v>32</v>
      </c>
      <c r="O40" s="33" t="s">
        <v>32</v>
      </c>
      <c r="P40" s="33" t="s">
        <v>32</v>
      </c>
      <c r="Q40" s="33" t="s">
        <v>126</v>
      </c>
      <c r="R40" s="33" t="s">
        <v>59</v>
      </c>
      <c r="S40" s="31"/>
      <c r="T40" s="246">
        <f>+PST!J627</f>
        <v>46171.666666666664</v>
      </c>
      <c r="U40" s="886"/>
    </row>
    <row r="41" spans="1:21" s="64" customFormat="1" ht="26.25" customHeight="1" x14ac:dyDescent="0.2">
      <c r="A41" s="814" t="s">
        <v>112</v>
      </c>
      <c r="B41" s="871"/>
      <c r="C41" s="871"/>
      <c r="D41" s="871"/>
      <c r="E41" s="871"/>
      <c r="F41" s="871"/>
      <c r="G41" s="871"/>
      <c r="H41" s="871"/>
      <c r="I41" s="871"/>
      <c r="J41" s="871"/>
      <c r="K41" s="871"/>
      <c r="L41" s="871"/>
      <c r="M41" s="871"/>
      <c r="N41" s="871"/>
      <c r="O41" s="871"/>
      <c r="P41" s="871"/>
      <c r="Q41" s="871"/>
      <c r="R41" s="871"/>
      <c r="S41" s="871"/>
      <c r="T41" s="872"/>
      <c r="U41" s="127">
        <f>+SUM(T37:T40)</f>
        <v>265905.66666666669</v>
      </c>
    </row>
    <row r="42" spans="1:21" s="64" customFormat="1" ht="26.25" customHeight="1" thickBot="1" x14ac:dyDescent="0.25">
      <c r="A42" s="774" t="s">
        <v>113</v>
      </c>
      <c r="B42" s="775"/>
      <c r="C42" s="775"/>
      <c r="D42" s="775"/>
      <c r="E42" s="775"/>
      <c r="F42" s="775"/>
      <c r="G42" s="775"/>
      <c r="H42" s="775"/>
      <c r="I42" s="775"/>
      <c r="J42" s="775"/>
      <c r="K42" s="775"/>
      <c r="L42" s="775"/>
      <c r="M42" s="775"/>
      <c r="N42" s="775"/>
      <c r="O42" s="775"/>
      <c r="P42" s="775"/>
      <c r="Q42" s="775"/>
      <c r="R42" s="775"/>
      <c r="S42" s="775"/>
      <c r="T42" s="776"/>
      <c r="U42" s="111">
        <f>U41+U30+U18</f>
        <v>1336757.7866666666</v>
      </c>
    </row>
    <row r="43" spans="1:21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spans="1:21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spans="1:21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spans="1:21" s="18" customFormat="1" x14ac:dyDescent="0.2"/>
    <row r="47" spans="1:21" s="1" customFormat="1" x14ac:dyDescent="0.2"/>
    <row r="48" spans="1:21" s="1" customFormat="1" x14ac:dyDescent="0.2"/>
    <row r="49" spans="1:21" s="1" customFormat="1" x14ac:dyDescent="0.2"/>
    <row r="50" spans="1:21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1:21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1:21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1:21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1:21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1:21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1:2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1:21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1:21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1:21" x14ac:dyDescent="0.2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22"/>
      <c r="U59" s="10"/>
    </row>
    <row r="60" spans="1:21" x14ac:dyDescent="0.2"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22"/>
      <c r="U60" s="10"/>
    </row>
    <row r="61" spans="1:2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22"/>
      <c r="U61" s="10"/>
    </row>
    <row r="62" spans="1:21" x14ac:dyDescent="0.2"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</row>
  </sheetData>
  <mergeCells count="54">
    <mergeCell ref="A41:T41"/>
    <mergeCell ref="A42:T42"/>
    <mergeCell ref="S37:U37"/>
    <mergeCell ref="A34:U34"/>
    <mergeCell ref="A35:U35"/>
    <mergeCell ref="A36:U36"/>
    <mergeCell ref="B37:B38"/>
    <mergeCell ref="A37:A38"/>
    <mergeCell ref="C37:C38"/>
    <mergeCell ref="D37:D38"/>
    <mergeCell ref="U39:U40"/>
    <mergeCell ref="A39:A40"/>
    <mergeCell ref="A7:U7"/>
    <mergeCell ref="A11:A12"/>
    <mergeCell ref="B11:B12"/>
    <mergeCell ref="A30:T30"/>
    <mergeCell ref="B27:B29"/>
    <mergeCell ref="A27:A29"/>
    <mergeCell ref="A8:U8"/>
    <mergeCell ref="Q11:Q12"/>
    <mergeCell ref="R11:R12"/>
    <mergeCell ref="S11:U11"/>
    <mergeCell ref="C11:C12"/>
    <mergeCell ref="D11:D12"/>
    <mergeCell ref="A18:T18"/>
    <mergeCell ref="A25:A26"/>
    <mergeCell ref="A15:A16"/>
    <mergeCell ref="A21:U21"/>
    <mergeCell ref="A1:U1"/>
    <mergeCell ref="A2:U2"/>
    <mergeCell ref="A3:U3"/>
    <mergeCell ref="A5:B5"/>
    <mergeCell ref="C5:Q5"/>
    <mergeCell ref="E11:P11"/>
    <mergeCell ref="A9:U9"/>
    <mergeCell ref="E37:P37"/>
    <mergeCell ref="Q37:Q38"/>
    <mergeCell ref="R37:R38"/>
    <mergeCell ref="B15:B16"/>
    <mergeCell ref="A22:U22"/>
    <mergeCell ref="A23:U23"/>
    <mergeCell ref="D25:D26"/>
    <mergeCell ref="R25:R26"/>
    <mergeCell ref="E25:P25"/>
    <mergeCell ref="S28:S29"/>
    <mergeCell ref="Q25:Q26"/>
    <mergeCell ref="S25:U25"/>
    <mergeCell ref="B25:B26"/>
    <mergeCell ref="B13:B14"/>
    <mergeCell ref="A13:A14"/>
    <mergeCell ref="C13:C14"/>
    <mergeCell ref="U13:U17"/>
    <mergeCell ref="U27:U29"/>
    <mergeCell ref="C25:C26"/>
  </mergeCells>
  <printOptions horizontalCentered="1"/>
  <pageMargins left="0.39370078740157483" right="0.78740157480314965" top="0.59055118110236227" bottom="0.19685039370078741" header="0" footer="0"/>
  <pageSetup paperSize="119" scale="77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S654"/>
  <sheetViews>
    <sheetView tabSelected="1" zoomScale="55" zoomScaleNormal="5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baseColWidth="10" defaultRowHeight="12.75" x14ac:dyDescent="0.2"/>
  <cols>
    <col min="1" max="1" width="95.42578125" customWidth="1"/>
    <col min="2" max="2" width="18.140625" style="19" bestFit="1" customWidth="1"/>
    <col min="3" max="3" width="16.28515625" style="19" customWidth="1"/>
    <col min="4" max="4" width="23.85546875" style="181" bestFit="1" customWidth="1"/>
    <col min="5" max="5" width="10.42578125" style="289" customWidth="1"/>
    <col min="6" max="6" width="24.85546875" style="290" customWidth="1"/>
    <col min="7" max="7" width="13" customWidth="1"/>
    <col min="8" max="8" width="10.28515625" style="143" bestFit="1" customWidth="1"/>
    <col min="9" max="9" width="24.140625" style="150" customWidth="1"/>
    <col min="10" max="10" width="24.85546875" style="148" bestFit="1" customWidth="1"/>
    <col min="11" max="11" width="12.7109375" bestFit="1" customWidth="1"/>
  </cols>
  <sheetData>
    <row r="1" spans="1:18" ht="21" thickBot="1" x14ac:dyDescent="0.35">
      <c r="A1" s="915" t="s">
        <v>70</v>
      </c>
      <c r="B1" s="916"/>
      <c r="C1" s="916"/>
      <c r="D1" s="916"/>
      <c r="E1" s="916"/>
      <c r="F1" s="916"/>
      <c r="G1" s="916"/>
      <c r="H1" s="916"/>
      <c r="I1" s="916"/>
      <c r="J1" s="917"/>
    </row>
    <row r="2" spans="1:18" ht="18.75" thickBot="1" x14ac:dyDescent="0.3">
      <c r="A2" s="918" t="s">
        <v>503</v>
      </c>
      <c r="B2" s="919"/>
      <c r="C2" s="919"/>
      <c r="D2" s="919"/>
      <c r="E2" s="919"/>
      <c r="F2" s="919"/>
      <c r="G2" s="919"/>
      <c r="H2" s="919"/>
      <c r="I2" s="919"/>
      <c r="J2" s="920"/>
    </row>
    <row r="3" spans="1:18" ht="41.25" customHeight="1" thickBot="1" x14ac:dyDescent="0.25">
      <c r="A3" s="908" t="s">
        <v>22</v>
      </c>
      <c r="B3" s="908" t="s">
        <v>155</v>
      </c>
      <c r="C3" s="908" t="s">
        <v>30</v>
      </c>
      <c r="D3" s="921" t="s">
        <v>23</v>
      </c>
      <c r="E3" s="923" t="s">
        <v>92</v>
      </c>
      <c r="F3" s="924"/>
      <c r="G3" s="908" t="s">
        <v>25</v>
      </c>
      <c r="H3" s="923" t="s">
        <v>93</v>
      </c>
      <c r="I3" s="924"/>
      <c r="J3" s="597" t="s">
        <v>13</v>
      </c>
    </row>
    <row r="4" spans="1:18" ht="48" thickBot="1" x14ac:dyDescent="0.25">
      <c r="A4" s="909"/>
      <c r="B4" s="909"/>
      <c r="C4" s="909"/>
      <c r="D4" s="922"/>
      <c r="E4" s="598" t="s">
        <v>26</v>
      </c>
      <c r="F4" s="599" t="s">
        <v>27</v>
      </c>
      <c r="G4" s="909"/>
      <c r="H4" s="598" t="s">
        <v>26</v>
      </c>
      <c r="I4" s="599" t="s">
        <v>27</v>
      </c>
      <c r="J4" s="600" t="s">
        <v>27</v>
      </c>
    </row>
    <row r="5" spans="1:18" ht="33" customHeight="1" thickBot="1" x14ac:dyDescent="0.25">
      <c r="A5" s="579" t="s">
        <v>100</v>
      </c>
      <c r="B5" s="580"/>
      <c r="C5" s="580"/>
      <c r="D5" s="581"/>
      <c r="E5" s="582"/>
      <c r="F5" s="593">
        <f>SUM(F6+F119)</f>
        <v>2390477</v>
      </c>
      <c r="G5" s="594"/>
      <c r="H5" s="595"/>
      <c r="I5" s="596">
        <f>SUM(I6+I119)</f>
        <v>1488728.1</v>
      </c>
      <c r="J5" s="584">
        <f>I5+F5</f>
        <v>3879205.1</v>
      </c>
    </row>
    <row r="6" spans="1:18" ht="21" customHeight="1" thickBot="1" x14ac:dyDescent="0.25">
      <c r="A6" s="585" t="s">
        <v>335</v>
      </c>
      <c r="B6" s="585"/>
      <c r="C6" s="585"/>
      <c r="D6" s="586"/>
      <c r="E6" s="587"/>
      <c r="F6" s="588">
        <f>F8+F17+F29+F55+F68+F79+F84+F91+F98+F103+F105+F114</f>
        <v>426618</v>
      </c>
      <c r="G6" s="589"/>
      <c r="H6" s="590"/>
      <c r="I6" s="591">
        <f>I8+I17+I29+I55+I68+I79+I84+I91+I98+I103+I105+I114</f>
        <v>458440.1</v>
      </c>
      <c r="J6" s="592">
        <f>SUM(F6+I6)</f>
        <v>885058.1</v>
      </c>
    </row>
    <row r="7" spans="1:18" ht="60" customHeight="1" thickBot="1" x14ac:dyDescent="0.3">
      <c r="A7" s="927" t="s">
        <v>226</v>
      </c>
      <c r="B7" s="928"/>
      <c r="C7" s="928"/>
      <c r="D7" s="405"/>
      <c r="E7" s="436"/>
      <c r="F7" s="348"/>
      <c r="G7" s="464"/>
      <c r="H7" s="516"/>
      <c r="I7" s="517"/>
      <c r="J7" s="478"/>
      <c r="K7" s="60"/>
      <c r="L7" s="60"/>
      <c r="M7" s="60"/>
      <c r="N7" s="60"/>
      <c r="O7" s="60"/>
      <c r="P7" s="60"/>
      <c r="Q7" s="60"/>
      <c r="R7" s="60"/>
    </row>
    <row r="8" spans="1:18" ht="33" customHeight="1" thickBot="1" x14ac:dyDescent="0.3">
      <c r="A8" s="925" t="str">
        <f>MR!D11</f>
        <v>1.1.1 Actualización del Plan de Prevención y control de Incendios Forestales del PNSL, en coordinación con los miembros de la CIF Municipales.</v>
      </c>
      <c r="B8" s="926"/>
      <c r="C8" s="926"/>
      <c r="D8" s="406"/>
      <c r="E8" s="437"/>
      <c r="F8" s="357">
        <f>SUM(F9:F16)</f>
        <v>0</v>
      </c>
      <c r="G8" s="465"/>
      <c r="H8" s="518"/>
      <c r="I8" s="351">
        <f>SUM(I9:I16)</f>
        <v>5648</v>
      </c>
      <c r="J8" s="479">
        <f>F8+I8</f>
        <v>5648</v>
      </c>
      <c r="K8" s="86"/>
    </row>
    <row r="9" spans="1:18" s="55" customFormat="1" ht="15" x14ac:dyDescent="0.2">
      <c r="A9" s="352" t="s">
        <v>34</v>
      </c>
      <c r="B9" s="353">
        <v>11</v>
      </c>
      <c r="C9" s="353" t="s">
        <v>94</v>
      </c>
      <c r="D9" s="407">
        <v>715</v>
      </c>
      <c r="E9" s="438">
        <v>0</v>
      </c>
      <c r="F9" s="354">
        <f>E9*D9</f>
        <v>0</v>
      </c>
      <c r="G9" s="466">
        <v>2</v>
      </c>
      <c r="H9" s="442">
        <v>2</v>
      </c>
      <c r="I9" s="372">
        <f t="shared" ref="I9:I72" si="0">D9*H9</f>
        <v>1430</v>
      </c>
      <c r="J9" s="480">
        <f t="shared" ref="J9:J72" si="1">F9+I9</f>
        <v>1430</v>
      </c>
      <c r="K9" s="226"/>
    </row>
    <row r="10" spans="1:18" s="55" customFormat="1" ht="15" x14ac:dyDescent="0.2">
      <c r="A10" s="337" t="s">
        <v>182</v>
      </c>
      <c r="B10" s="291">
        <v>11</v>
      </c>
      <c r="C10" s="291" t="s">
        <v>128</v>
      </c>
      <c r="D10" s="321">
        <v>557</v>
      </c>
      <c r="E10" s="300">
        <v>0</v>
      </c>
      <c r="F10" s="301">
        <f t="shared" ref="F10:F16" si="2">E10*D10</f>
        <v>0</v>
      </c>
      <c r="G10" s="467">
        <v>2</v>
      </c>
      <c r="H10" s="300">
        <v>2</v>
      </c>
      <c r="I10" s="310">
        <f t="shared" si="0"/>
        <v>1114</v>
      </c>
      <c r="J10" s="481">
        <f t="shared" si="1"/>
        <v>1114</v>
      </c>
      <c r="K10" s="84"/>
      <c r="L10" s="84"/>
    </row>
    <row r="11" spans="1:18" s="55" customFormat="1" ht="15" x14ac:dyDescent="0.2">
      <c r="A11" s="337" t="s">
        <v>361</v>
      </c>
      <c r="B11" s="318" t="s">
        <v>192</v>
      </c>
      <c r="C11" s="291" t="s">
        <v>94</v>
      </c>
      <c r="D11" s="325">
        <v>281</v>
      </c>
      <c r="E11" s="300">
        <v>0</v>
      </c>
      <c r="F11" s="301">
        <f t="shared" si="2"/>
        <v>0</v>
      </c>
      <c r="G11" s="467">
        <v>2</v>
      </c>
      <c r="H11" s="300">
        <v>2</v>
      </c>
      <c r="I11" s="310">
        <f t="shared" si="0"/>
        <v>562</v>
      </c>
      <c r="J11" s="481">
        <f t="shared" si="1"/>
        <v>562</v>
      </c>
      <c r="K11" s="84"/>
      <c r="L11" s="84"/>
    </row>
    <row r="12" spans="1:18" s="55" customFormat="1" ht="15" x14ac:dyDescent="0.2">
      <c r="A12" s="337" t="s">
        <v>184</v>
      </c>
      <c r="B12" s="318" t="s">
        <v>171</v>
      </c>
      <c r="C12" s="291" t="s">
        <v>128</v>
      </c>
      <c r="D12" s="325">
        <v>281</v>
      </c>
      <c r="E12" s="300">
        <v>0</v>
      </c>
      <c r="F12" s="301">
        <f t="shared" si="2"/>
        <v>0</v>
      </c>
      <c r="G12" s="467">
        <v>2</v>
      </c>
      <c r="H12" s="300">
        <v>2</v>
      </c>
      <c r="I12" s="310">
        <f t="shared" si="0"/>
        <v>562</v>
      </c>
      <c r="J12" s="481">
        <f t="shared" si="1"/>
        <v>562</v>
      </c>
      <c r="K12" s="84"/>
      <c r="L12" s="84"/>
    </row>
    <row r="13" spans="1:18" s="55" customFormat="1" ht="15" x14ac:dyDescent="0.2">
      <c r="A13" s="337" t="s">
        <v>185</v>
      </c>
      <c r="B13" s="318" t="s">
        <v>171</v>
      </c>
      <c r="C13" s="291" t="s">
        <v>128</v>
      </c>
      <c r="D13" s="325">
        <v>185</v>
      </c>
      <c r="E13" s="300">
        <v>0</v>
      </c>
      <c r="F13" s="301">
        <f t="shared" si="2"/>
        <v>0</v>
      </c>
      <c r="G13" s="467">
        <v>2</v>
      </c>
      <c r="H13" s="300">
        <v>2</v>
      </c>
      <c r="I13" s="310">
        <f t="shared" si="0"/>
        <v>370</v>
      </c>
      <c r="J13" s="481">
        <f t="shared" si="1"/>
        <v>370</v>
      </c>
      <c r="K13" s="84"/>
      <c r="L13" s="84"/>
    </row>
    <row r="14" spans="1:18" s="55" customFormat="1" ht="15" x14ac:dyDescent="0.2">
      <c r="A14" s="337" t="s">
        <v>162</v>
      </c>
      <c r="B14" s="342">
        <v>211</v>
      </c>
      <c r="C14" s="342" t="s">
        <v>44</v>
      </c>
      <c r="D14" s="408">
        <v>10</v>
      </c>
      <c r="E14" s="300">
        <v>0</v>
      </c>
      <c r="F14" s="301">
        <f t="shared" si="2"/>
        <v>0</v>
      </c>
      <c r="G14" s="467">
        <v>2</v>
      </c>
      <c r="H14" s="300">
        <v>30</v>
      </c>
      <c r="I14" s="310">
        <f t="shared" si="0"/>
        <v>300</v>
      </c>
      <c r="J14" s="481">
        <f t="shared" si="1"/>
        <v>300</v>
      </c>
      <c r="K14" s="84"/>
      <c r="L14" s="84"/>
    </row>
    <row r="15" spans="1:18" s="55" customFormat="1" ht="15" x14ac:dyDescent="0.2">
      <c r="A15" s="337" t="s">
        <v>41</v>
      </c>
      <c r="B15" s="291">
        <v>262</v>
      </c>
      <c r="C15" s="291" t="s">
        <v>61</v>
      </c>
      <c r="D15" s="321">
        <v>35</v>
      </c>
      <c r="E15" s="300">
        <v>0</v>
      </c>
      <c r="F15" s="301">
        <f t="shared" si="2"/>
        <v>0</v>
      </c>
      <c r="G15" s="467">
        <v>2</v>
      </c>
      <c r="H15" s="300">
        <f>3*2*6</f>
        <v>36</v>
      </c>
      <c r="I15" s="310">
        <f t="shared" si="0"/>
        <v>1260</v>
      </c>
      <c r="J15" s="481">
        <f t="shared" si="1"/>
        <v>1260</v>
      </c>
      <c r="K15" s="84"/>
      <c r="L15" s="84"/>
    </row>
    <row r="16" spans="1:18" s="55" customFormat="1" ht="15.75" thickBot="1" x14ac:dyDescent="0.25">
      <c r="A16" s="345" t="s">
        <v>65</v>
      </c>
      <c r="B16" s="347">
        <v>241</v>
      </c>
      <c r="C16" s="347" t="s">
        <v>49</v>
      </c>
      <c r="D16" s="409">
        <v>50</v>
      </c>
      <c r="E16" s="439"/>
      <c r="F16" s="355">
        <f t="shared" si="2"/>
        <v>0</v>
      </c>
      <c r="G16" s="468">
        <v>2</v>
      </c>
      <c r="H16" s="439">
        <v>1</v>
      </c>
      <c r="I16" s="462">
        <f t="shared" si="0"/>
        <v>50</v>
      </c>
      <c r="J16" s="482">
        <f t="shared" si="1"/>
        <v>50</v>
      </c>
      <c r="K16" s="84"/>
      <c r="L16" s="84"/>
    </row>
    <row r="17" spans="1:12" ht="45" customHeight="1" thickBot="1" x14ac:dyDescent="0.25">
      <c r="A17" s="906" t="str">
        <f>MR!D12</f>
        <v>1.1.2 Se han fortalecido e impulsado los Sistemas de Alerta Temprana de Incendios Forestales  en 03 comunidades del PNSL que han iniciado a implementar y/o que están en proceso de mejora.</v>
      </c>
      <c r="B17" s="907"/>
      <c r="C17" s="907"/>
      <c r="D17" s="410"/>
      <c r="E17" s="440"/>
      <c r="F17" s="357">
        <f>SUM(F18:F28)</f>
        <v>0</v>
      </c>
      <c r="G17" s="465"/>
      <c r="H17" s="518"/>
      <c r="I17" s="351">
        <f>SUM(I18:I28)</f>
        <v>27043</v>
      </c>
      <c r="J17" s="483">
        <f t="shared" si="1"/>
        <v>27043</v>
      </c>
      <c r="K17" s="85"/>
      <c r="L17" s="85"/>
    </row>
    <row r="18" spans="1:12" s="55" customFormat="1" ht="15" x14ac:dyDescent="0.2">
      <c r="A18" s="352" t="s">
        <v>182</v>
      </c>
      <c r="B18" s="353">
        <v>29</v>
      </c>
      <c r="C18" s="353" t="s">
        <v>128</v>
      </c>
      <c r="D18" s="407">
        <v>557</v>
      </c>
      <c r="E18" s="441">
        <v>0</v>
      </c>
      <c r="F18" s="361">
        <f t="shared" ref="F18:F28" si="3">E18*D18</f>
        <v>0</v>
      </c>
      <c r="G18" s="466">
        <v>2</v>
      </c>
      <c r="H18" s="441">
        <v>5</v>
      </c>
      <c r="I18" s="461">
        <f t="shared" si="0"/>
        <v>2785</v>
      </c>
      <c r="J18" s="484">
        <f t="shared" si="1"/>
        <v>2785</v>
      </c>
      <c r="K18" s="84"/>
      <c r="L18" s="84"/>
    </row>
    <row r="19" spans="1:12" s="55" customFormat="1" ht="15" x14ac:dyDescent="0.2">
      <c r="A19" s="337" t="s">
        <v>167</v>
      </c>
      <c r="B19" s="318" t="s">
        <v>170</v>
      </c>
      <c r="C19" s="291" t="s">
        <v>94</v>
      </c>
      <c r="D19" s="325">
        <v>281</v>
      </c>
      <c r="E19" s="300">
        <v>0</v>
      </c>
      <c r="F19" s="301">
        <f t="shared" si="3"/>
        <v>0</v>
      </c>
      <c r="G19" s="467">
        <v>2</v>
      </c>
      <c r="H19" s="300">
        <v>15</v>
      </c>
      <c r="I19" s="310">
        <f t="shared" si="0"/>
        <v>4215</v>
      </c>
      <c r="J19" s="481">
        <f t="shared" si="1"/>
        <v>4215</v>
      </c>
      <c r="K19" s="84"/>
      <c r="L19" s="84"/>
    </row>
    <row r="20" spans="1:12" s="55" customFormat="1" ht="15" x14ac:dyDescent="0.2">
      <c r="A20" s="337" t="s">
        <v>185</v>
      </c>
      <c r="B20" s="318" t="s">
        <v>170</v>
      </c>
      <c r="C20" s="291" t="s">
        <v>94</v>
      </c>
      <c r="D20" s="325">
        <v>185</v>
      </c>
      <c r="E20" s="300">
        <v>0</v>
      </c>
      <c r="F20" s="301">
        <f t="shared" si="3"/>
        <v>0</v>
      </c>
      <c r="G20" s="467">
        <v>2</v>
      </c>
      <c r="H20" s="300">
        <v>30</v>
      </c>
      <c r="I20" s="310">
        <f t="shared" si="0"/>
        <v>5550</v>
      </c>
      <c r="J20" s="481">
        <f t="shared" si="1"/>
        <v>5550</v>
      </c>
      <c r="K20" s="84"/>
      <c r="L20" s="84"/>
    </row>
    <row r="21" spans="1:12" s="55" customFormat="1" ht="15" x14ac:dyDescent="0.2">
      <c r="A21" s="337" t="s">
        <v>186</v>
      </c>
      <c r="B21" s="318" t="s">
        <v>171</v>
      </c>
      <c r="C21" s="291" t="s">
        <v>94</v>
      </c>
      <c r="D21" s="325">
        <v>267</v>
      </c>
      <c r="E21" s="300">
        <v>0</v>
      </c>
      <c r="F21" s="301">
        <f t="shared" si="3"/>
        <v>0</v>
      </c>
      <c r="G21" s="467">
        <v>2</v>
      </c>
      <c r="H21" s="300">
        <v>30</v>
      </c>
      <c r="I21" s="310">
        <f t="shared" si="0"/>
        <v>8010</v>
      </c>
      <c r="J21" s="481">
        <f t="shared" si="1"/>
        <v>8010</v>
      </c>
      <c r="K21" s="84"/>
      <c r="L21" s="84"/>
    </row>
    <row r="22" spans="1:12" ht="17.100000000000001" customHeight="1" x14ac:dyDescent="0.2">
      <c r="A22" s="337" t="s">
        <v>64</v>
      </c>
      <c r="B22" s="291">
        <v>211</v>
      </c>
      <c r="C22" s="291" t="s">
        <v>44</v>
      </c>
      <c r="D22" s="321">
        <v>15</v>
      </c>
      <c r="E22" s="300">
        <v>0</v>
      </c>
      <c r="F22" s="301">
        <f t="shared" si="3"/>
        <v>0</v>
      </c>
      <c r="G22" s="467">
        <v>2</v>
      </c>
      <c r="H22" s="300">
        <f>(3*2*12)</f>
        <v>72</v>
      </c>
      <c r="I22" s="310">
        <f t="shared" si="0"/>
        <v>1080</v>
      </c>
      <c r="J22" s="481">
        <f t="shared" si="1"/>
        <v>1080</v>
      </c>
      <c r="K22" s="85"/>
      <c r="L22" s="85"/>
    </row>
    <row r="23" spans="1:12" ht="15" x14ac:dyDescent="0.2">
      <c r="A23" s="337" t="s">
        <v>65</v>
      </c>
      <c r="B23" s="291">
        <v>241</v>
      </c>
      <c r="C23" s="291" t="s">
        <v>49</v>
      </c>
      <c r="D23" s="321">
        <v>50</v>
      </c>
      <c r="E23" s="300">
        <v>0</v>
      </c>
      <c r="F23" s="301">
        <f t="shared" si="3"/>
        <v>0</v>
      </c>
      <c r="G23" s="549">
        <v>2</v>
      </c>
      <c r="H23" s="300">
        <v>8</v>
      </c>
      <c r="I23" s="310">
        <f t="shared" si="0"/>
        <v>400</v>
      </c>
      <c r="J23" s="481">
        <f t="shared" si="1"/>
        <v>400</v>
      </c>
      <c r="K23" s="85"/>
      <c r="L23" s="85"/>
    </row>
    <row r="24" spans="1:12" ht="15" x14ac:dyDescent="0.2">
      <c r="A24" s="337" t="s">
        <v>43</v>
      </c>
      <c r="B24" s="291">
        <v>262</v>
      </c>
      <c r="C24" s="291" t="s">
        <v>42</v>
      </c>
      <c r="D24" s="321">
        <v>40</v>
      </c>
      <c r="E24" s="300">
        <v>0</v>
      </c>
      <c r="F24" s="301">
        <f t="shared" si="3"/>
        <v>0</v>
      </c>
      <c r="G24" s="467">
        <v>2</v>
      </c>
      <c r="H24" s="300">
        <f>(15*6)</f>
        <v>90</v>
      </c>
      <c r="I24" s="310">
        <f t="shared" si="0"/>
        <v>3600</v>
      </c>
      <c r="J24" s="481">
        <f t="shared" si="1"/>
        <v>3600</v>
      </c>
      <c r="K24" s="85"/>
      <c r="L24" s="85"/>
    </row>
    <row r="25" spans="1:12" ht="15" x14ac:dyDescent="0.2">
      <c r="A25" s="337" t="s">
        <v>66</v>
      </c>
      <c r="B25" s="291">
        <v>291</v>
      </c>
      <c r="C25" s="291" t="s">
        <v>47</v>
      </c>
      <c r="D25" s="321">
        <v>22</v>
      </c>
      <c r="E25" s="300">
        <v>0</v>
      </c>
      <c r="F25" s="301">
        <f t="shared" si="3"/>
        <v>0</v>
      </c>
      <c r="G25" s="467">
        <v>2</v>
      </c>
      <c r="H25" s="300">
        <v>4</v>
      </c>
      <c r="I25" s="310">
        <f t="shared" si="0"/>
        <v>88</v>
      </c>
      <c r="J25" s="481">
        <f t="shared" si="1"/>
        <v>88</v>
      </c>
      <c r="K25" s="85"/>
      <c r="L25" s="85"/>
    </row>
    <row r="26" spans="1:12" s="1" customFormat="1" ht="15.95" customHeight="1" x14ac:dyDescent="0.2">
      <c r="A26" s="337" t="s">
        <v>157</v>
      </c>
      <c r="B26" s="291">
        <v>291</v>
      </c>
      <c r="C26" s="291" t="s">
        <v>48</v>
      </c>
      <c r="D26" s="321">
        <v>60</v>
      </c>
      <c r="E26" s="300">
        <v>0</v>
      </c>
      <c r="F26" s="301">
        <f t="shared" si="3"/>
        <v>0</v>
      </c>
      <c r="G26" s="467">
        <v>2</v>
      </c>
      <c r="H26" s="300">
        <v>1</v>
      </c>
      <c r="I26" s="310">
        <f t="shared" si="0"/>
        <v>60</v>
      </c>
      <c r="J26" s="481">
        <f t="shared" si="1"/>
        <v>60</v>
      </c>
      <c r="K26" s="142"/>
      <c r="L26" s="142"/>
    </row>
    <row r="27" spans="1:12" s="1" customFormat="1" ht="17.100000000000001" customHeight="1" x14ac:dyDescent="0.2">
      <c r="A27" s="337" t="s">
        <v>158</v>
      </c>
      <c r="B27" s="291">
        <v>291</v>
      </c>
      <c r="C27" s="291" t="s">
        <v>48</v>
      </c>
      <c r="D27" s="321">
        <v>130</v>
      </c>
      <c r="E27" s="300">
        <v>0</v>
      </c>
      <c r="F27" s="301">
        <f t="shared" si="3"/>
        <v>0</v>
      </c>
      <c r="G27" s="467">
        <v>2</v>
      </c>
      <c r="H27" s="300">
        <v>1</v>
      </c>
      <c r="I27" s="310">
        <f t="shared" si="0"/>
        <v>130</v>
      </c>
      <c r="J27" s="481">
        <f t="shared" si="1"/>
        <v>130</v>
      </c>
      <c r="K27" s="142"/>
      <c r="L27" s="142"/>
    </row>
    <row r="28" spans="1:12" s="1" customFormat="1" ht="17.100000000000001" customHeight="1" thickBot="1" x14ac:dyDescent="0.25">
      <c r="A28" s="345" t="s">
        <v>336</v>
      </c>
      <c r="B28" s="347"/>
      <c r="C28" s="347" t="s">
        <v>44</v>
      </c>
      <c r="D28" s="409">
        <v>75</v>
      </c>
      <c r="E28" s="439">
        <v>0</v>
      </c>
      <c r="F28" s="355">
        <f t="shared" si="3"/>
        <v>0</v>
      </c>
      <c r="G28" s="468"/>
      <c r="H28" s="439">
        <f>3*5</f>
        <v>15</v>
      </c>
      <c r="I28" s="462">
        <f t="shared" si="0"/>
        <v>1125</v>
      </c>
      <c r="J28" s="482">
        <f t="shared" si="1"/>
        <v>1125</v>
      </c>
      <c r="K28" s="142"/>
      <c r="L28" s="142"/>
    </row>
    <row r="29" spans="1:12" ht="42" customHeight="1" thickBot="1" x14ac:dyDescent="0.25">
      <c r="A29" s="906" t="str">
        <f>MR!D13</f>
        <v>1.1.3 Se han implementado 2 campamentos temporales en zonas de alto riesgo de incendios forestales en la ZI.</v>
      </c>
      <c r="B29" s="907"/>
      <c r="C29" s="907"/>
      <c r="D29" s="410"/>
      <c r="E29" s="440"/>
      <c r="F29" s="357">
        <f>SUM(F30:F54)</f>
        <v>264900</v>
      </c>
      <c r="G29" s="465"/>
      <c r="H29" s="518"/>
      <c r="I29" s="351">
        <f>SUM(I30:I54)</f>
        <v>196324</v>
      </c>
      <c r="J29" s="483">
        <f t="shared" si="1"/>
        <v>461224</v>
      </c>
      <c r="K29" s="85"/>
      <c r="L29" s="85"/>
    </row>
    <row r="30" spans="1:12" s="55" customFormat="1" ht="15" x14ac:dyDescent="0.2">
      <c r="A30" s="352" t="s">
        <v>361</v>
      </c>
      <c r="B30" s="362" t="s">
        <v>170</v>
      </c>
      <c r="C30" s="353" t="s">
        <v>94</v>
      </c>
      <c r="D30" s="411">
        <v>281</v>
      </c>
      <c r="E30" s="441">
        <v>0</v>
      </c>
      <c r="F30" s="363">
        <f t="shared" ref="F30:F54" si="4">E30*D30</f>
        <v>0</v>
      </c>
      <c r="G30" s="466">
        <v>2</v>
      </c>
      <c r="H30" s="441">
        <f>2*12</f>
        <v>24</v>
      </c>
      <c r="I30" s="461">
        <f t="shared" si="0"/>
        <v>6744</v>
      </c>
      <c r="J30" s="485">
        <f t="shared" si="1"/>
        <v>6744</v>
      </c>
      <c r="K30" s="84"/>
      <c r="L30" s="84"/>
    </row>
    <row r="31" spans="1:12" s="55" customFormat="1" ht="15" x14ac:dyDescent="0.2">
      <c r="A31" s="337" t="s">
        <v>188</v>
      </c>
      <c r="B31" s="318" t="s">
        <v>171</v>
      </c>
      <c r="C31" s="291" t="s">
        <v>128</v>
      </c>
      <c r="D31" s="325">
        <v>200</v>
      </c>
      <c r="E31" s="300">
        <v>0</v>
      </c>
      <c r="F31" s="302">
        <f t="shared" si="4"/>
        <v>0</v>
      </c>
      <c r="G31" s="467">
        <v>2</v>
      </c>
      <c r="H31" s="300">
        <f>5*12</f>
        <v>60</v>
      </c>
      <c r="I31" s="310">
        <f t="shared" si="0"/>
        <v>12000</v>
      </c>
      <c r="J31" s="486">
        <f t="shared" si="1"/>
        <v>12000</v>
      </c>
      <c r="K31" s="84"/>
      <c r="L31" s="84"/>
    </row>
    <row r="32" spans="1:12" s="55" customFormat="1" ht="15" x14ac:dyDescent="0.2">
      <c r="A32" s="337" t="s">
        <v>190</v>
      </c>
      <c r="B32" s="291">
        <v>11</v>
      </c>
      <c r="C32" s="291" t="s">
        <v>94</v>
      </c>
      <c r="D32" s="321">
        <v>88</v>
      </c>
      <c r="E32" s="300">
        <f>8*5*30</f>
        <v>1200</v>
      </c>
      <c r="F32" s="302">
        <f t="shared" si="4"/>
        <v>105600</v>
      </c>
      <c r="G32" s="467">
        <v>1</v>
      </c>
      <c r="H32" s="300">
        <v>0</v>
      </c>
      <c r="I32" s="310">
        <f t="shared" si="0"/>
        <v>0</v>
      </c>
      <c r="J32" s="486">
        <f t="shared" si="1"/>
        <v>105600</v>
      </c>
      <c r="K32" s="84"/>
      <c r="L32" s="84"/>
    </row>
    <row r="33" spans="1:12" s="55" customFormat="1" ht="15" x14ac:dyDescent="0.2">
      <c r="A33" s="337" t="s">
        <v>189</v>
      </c>
      <c r="B33" s="291">
        <v>11</v>
      </c>
      <c r="C33" s="291" t="s">
        <v>128</v>
      </c>
      <c r="D33" s="321">
        <v>101</v>
      </c>
      <c r="E33" s="300">
        <f>1*5*30</f>
        <v>150</v>
      </c>
      <c r="F33" s="302">
        <f t="shared" si="4"/>
        <v>15150</v>
      </c>
      <c r="G33" s="467">
        <v>2</v>
      </c>
      <c r="H33" s="300">
        <f>4*6*30</f>
        <v>720</v>
      </c>
      <c r="I33" s="310">
        <f t="shared" si="0"/>
        <v>72720</v>
      </c>
      <c r="J33" s="486">
        <f t="shared" si="1"/>
        <v>87870</v>
      </c>
      <c r="K33" s="84"/>
      <c r="L33" s="84"/>
    </row>
    <row r="34" spans="1:12" s="55" customFormat="1" ht="15" x14ac:dyDescent="0.2">
      <c r="A34" s="337" t="s">
        <v>189</v>
      </c>
      <c r="B34" s="291">
        <v>29</v>
      </c>
      <c r="C34" s="291" t="s">
        <v>128</v>
      </c>
      <c r="D34" s="321">
        <v>101</v>
      </c>
      <c r="E34" s="300">
        <f>1*5*30</f>
        <v>150</v>
      </c>
      <c r="F34" s="302">
        <f t="shared" si="4"/>
        <v>15150</v>
      </c>
      <c r="G34" s="467">
        <v>2</v>
      </c>
      <c r="H34" s="300">
        <f>4*6*30</f>
        <v>720</v>
      </c>
      <c r="I34" s="310">
        <f t="shared" si="0"/>
        <v>72720</v>
      </c>
      <c r="J34" s="486">
        <f t="shared" si="1"/>
        <v>87870</v>
      </c>
      <c r="K34" s="84"/>
      <c r="L34" s="84"/>
    </row>
    <row r="35" spans="1:12" ht="12.75" customHeight="1" x14ac:dyDescent="0.2">
      <c r="A35" s="337" t="s">
        <v>65</v>
      </c>
      <c r="B35" s="291">
        <v>241</v>
      </c>
      <c r="C35" s="291" t="s">
        <v>49</v>
      </c>
      <c r="D35" s="321">
        <v>50</v>
      </c>
      <c r="E35" s="300">
        <v>0</v>
      </c>
      <c r="F35" s="302">
        <f t="shared" si="4"/>
        <v>0</v>
      </c>
      <c r="G35" s="320">
        <v>2</v>
      </c>
      <c r="H35" s="300">
        <v>1</v>
      </c>
      <c r="I35" s="310">
        <f t="shared" si="0"/>
        <v>50</v>
      </c>
      <c r="J35" s="486">
        <f t="shared" si="1"/>
        <v>50</v>
      </c>
      <c r="K35" s="85"/>
      <c r="L35" s="85"/>
    </row>
    <row r="36" spans="1:12" ht="12.75" customHeight="1" x14ac:dyDescent="0.2">
      <c r="A36" s="337" t="s">
        <v>43</v>
      </c>
      <c r="B36" s="291">
        <v>262</v>
      </c>
      <c r="C36" s="291" t="s">
        <v>61</v>
      </c>
      <c r="D36" s="321">
        <v>30</v>
      </c>
      <c r="E36" s="300">
        <v>0</v>
      </c>
      <c r="F36" s="302">
        <f t="shared" si="4"/>
        <v>0</v>
      </c>
      <c r="G36" s="467">
        <v>1</v>
      </c>
      <c r="H36" s="300">
        <f>20*2*5</f>
        <v>200</v>
      </c>
      <c r="I36" s="310">
        <f t="shared" si="0"/>
        <v>6000</v>
      </c>
      <c r="J36" s="486">
        <f t="shared" si="1"/>
        <v>6000</v>
      </c>
      <c r="K36" s="85"/>
      <c r="L36" s="85"/>
    </row>
    <row r="37" spans="1:12" ht="12.75" customHeight="1" x14ac:dyDescent="0.2">
      <c r="A37" s="337" t="s">
        <v>41</v>
      </c>
      <c r="B37" s="291">
        <v>262</v>
      </c>
      <c r="C37" s="291" t="s">
        <v>61</v>
      </c>
      <c r="D37" s="321">
        <v>25</v>
      </c>
      <c r="E37" s="300">
        <v>0</v>
      </c>
      <c r="F37" s="302">
        <f t="shared" si="4"/>
        <v>0</v>
      </c>
      <c r="G37" s="467">
        <v>2</v>
      </c>
      <c r="H37" s="300">
        <f>15*3*5</f>
        <v>225</v>
      </c>
      <c r="I37" s="310">
        <f t="shared" si="0"/>
        <v>5625</v>
      </c>
      <c r="J37" s="486">
        <f t="shared" si="1"/>
        <v>5625</v>
      </c>
      <c r="K37" s="85"/>
      <c r="L37" s="85"/>
    </row>
    <row r="38" spans="1:12" ht="12.75" customHeight="1" x14ac:dyDescent="0.2">
      <c r="A38" s="337" t="s">
        <v>72</v>
      </c>
      <c r="B38" s="291">
        <v>262</v>
      </c>
      <c r="C38" s="291" t="s">
        <v>187</v>
      </c>
      <c r="D38" s="321">
        <v>35</v>
      </c>
      <c r="E38" s="300">
        <v>0</v>
      </c>
      <c r="F38" s="302">
        <f t="shared" si="4"/>
        <v>0</v>
      </c>
      <c r="G38" s="467">
        <v>2</v>
      </c>
      <c r="H38" s="300">
        <f>3*2*5</f>
        <v>30</v>
      </c>
      <c r="I38" s="310">
        <f t="shared" si="0"/>
        <v>1050</v>
      </c>
      <c r="J38" s="486">
        <f t="shared" si="1"/>
        <v>1050</v>
      </c>
      <c r="K38" s="85"/>
      <c r="L38" s="85"/>
    </row>
    <row r="39" spans="1:12" ht="13.5" customHeight="1" x14ac:dyDescent="0.2">
      <c r="A39" s="337" t="s">
        <v>207</v>
      </c>
      <c r="B39" s="291">
        <v>291</v>
      </c>
      <c r="C39" s="291" t="s">
        <v>47</v>
      </c>
      <c r="D39" s="321">
        <v>15</v>
      </c>
      <c r="E39" s="300">
        <v>0</v>
      </c>
      <c r="F39" s="302">
        <f t="shared" si="4"/>
        <v>0</v>
      </c>
      <c r="G39" s="467">
        <v>2</v>
      </c>
      <c r="H39" s="300">
        <f>1*5</f>
        <v>5</v>
      </c>
      <c r="I39" s="310">
        <f t="shared" si="0"/>
        <v>75</v>
      </c>
      <c r="J39" s="486">
        <f t="shared" si="1"/>
        <v>75</v>
      </c>
      <c r="K39" s="85"/>
      <c r="L39" s="85"/>
    </row>
    <row r="40" spans="1:12" ht="13.5" customHeight="1" x14ac:dyDescent="0.2">
      <c r="A40" s="337" t="s">
        <v>74</v>
      </c>
      <c r="B40" s="291">
        <v>267</v>
      </c>
      <c r="C40" s="291" t="s">
        <v>67</v>
      </c>
      <c r="D40" s="321">
        <v>450</v>
      </c>
      <c r="E40" s="300">
        <v>0</v>
      </c>
      <c r="F40" s="302">
        <f t="shared" si="4"/>
        <v>0</v>
      </c>
      <c r="G40" s="467">
        <v>2</v>
      </c>
      <c r="H40" s="300">
        <f>1*5</f>
        <v>5</v>
      </c>
      <c r="I40" s="310">
        <f t="shared" si="0"/>
        <v>2250</v>
      </c>
      <c r="J40" s="486">
        <f t="shared" si="1"/>
        <v>2250</v>
      </c>
      <c r="K40" s="85"/>
      <c r="L40" s="85"/>
    </row>
    <row r="41" spans="1:12" ht="13.5" customHeight="1" x14ac:dyDescent="0.2">
      <c r="A41" s="337" t="s">
        <v>249</v>
      </c>
      <c r="B41" s="291">
        <v>211</v>
      </c>
      <c r="C41" s="291" t="s">
        <v>128</v>
      </c>
      <c r="D41" s="321">
        <v>32</v>
      </c>
      <c r="E41" s="300">
        <f>(((10*30)*0.5)*5)*2</f>
        <v>1500</v>
      </c>
      <c r="F41" s="302">
        <f t="shared" si="4"/>
        <v>48000</v>
      </c>
      <c r="G41" s="467">
        <v>1</v>
      </c>
      <c r="H41" s="300"/>
      <c r="I41" s="310">
        <f t="shared" si="0"/>
        <v>0</v>
      </c>
      <c r="J41" s="486">
        <f t="shared" si="1"/>
        <v>48000</v>
      </c>
      <c r="K41" s="85"/>
      <c r="L41" s="85"/>
    </row>
    <row r="42" spans="1:12" ht="13.5" customHeight="1" x14ac:dyDescent="0.2">
      <c r="A42" s="337" t="s">
        <v>250</v>
      </c>
      <c r="B42" s="291">
        <v>211</v>
      </c>
      <c r="C42" s="291" t="s">
        <v>128</v>
      </c>
      <c r="D42" s="321">
        <v>45</v>
      </c>
      <c r="E42" s="300">
        <f>((2*5*5*5)+(11*2*5*5)+(2*2*5*5))*2</f>
        <v>1800</v>
      </c>
      <c r="F42" s="302">
        <f t="shared" si="4"/>
        <v>81000</v>
      </c>
      <c r="G42" s="467">
        <v>1</v>
      </c>
      <c r="H42" s="300"/>
      <c r="I42" s="310">
        <f t="shared" si="0"/>
        <v>0</v>
      </c>
      <c r="J42" s="486">
        <f t="shared" si="1"/>
        <v>81000</v>
      </c>
      <c r="K42" s="85"/>
      <c r="L42" s="85"/>
    </row>
    <row r="43" spans="1:12" ht="13.5" customHeight="1" x14ac:dyDescent="0.2">
      <c r="A43" s="337" t="s">
        <v>266</v>
      </c>
      <c r="B43" s="291">
        <v>268</v>
      </c>
      <c r="C43" s="291" t="s">
        <v>44</v>
      </c>
      <c r="D43" s="321">
        <v>700</v>
      </c>
      <c r="E43" s="300"/>
      <c r="F43" s="302">
        <f t="shared" si="4"/>
        <v>0</v>
      </c>
      <c r="G43" s="467"/>
      <c r="H43" s="300">
        <v>2</v>
      </c>
      <c r="I43" s="310">
        <f t="shared" si="0"/>
        <v>1400</v>
      </c>
      <c r="J43" s="486">
        <f t="shared" si="1"/>
        <v>1400</v>
      </c>
      <c r="K43" s="85"/>
      <c r="L43" s="85"/>
    </row>
    <row r="44" spans="1:12" ht="13.5" customHeight="1" x14ac:dyDescent="0.2">
      <c r="A44" s="337" t="s">
        <v>267</v>
      </c>
      <c r="B44" s="291">
        <v>268</v>
      </c>
      <c r="C44" s="291" t="s">
        <v>44</v>
      </c>
      <c r="D44" s="321">
        <v>300</v>
      </c>
      <c r="E44" s="300"/>
      <c r="F44" s="302">
        <f t="shared" si="4"/>
        <v>0</v>
      </c>
      <c r="G44" s="467"/>
      <c r="H44" s="300">
        <v>2</v>
      </c>
      <c r="I44" s="310">
        <f t="shared" si="0"/>
        <v>600</v>
      </c>
      <c r="J44" s="486">
        <f t="shared" si="1"/>
        <v>600</v>
      </c>
      <c r="K44" s="85"/>
      <c r="L44" s="85"/>
    </row>
    <row r="45" spans="1:12" ht="13.5" customHeight="1" x14ac:dyDescent="0.2">
      <c r="A45" s="337" t="s">
        <v>268</v>
      </c>
      <c r="B45" s="291">
        <v>268</v>
      </c>
      <c r="C45" s="291" t="s">
        <v>44</v>
      </c>
      <c r="D45" s="321">
        <v>100</v>
      </c>
      <c r="E45" s="300"/>
      <c r="F45" s="302">
        <f t="shared" si="4"/>
        <v>0</v>
      </c>
      <c r="G45" s="467"/>
      <c r="H45" s="300">
        <v>2</v>
      </c>
      <c r="I45" s="310">
        <f t="shared" si="0"/>
        <v>200</v>
      </c>
      <c r="J45" s="486">
        <f t="shared" si="1"/>
        <v>200</v>
      </c>
      <c r="K45" s="85"/>
      <c r="L45" s="85"/>
    </row>
    <row r="46" spans="1:12" ht="13.5" customHeight="1" x14ac:dyDescent="0.2">
      <c r="A46" s="337" t="s">
        <v>274</v>
      </c>
      <c r="B46" s="291">
        <v>296</v>
      </c>
      <c r="C46" s="291" t="s">
        <v>44</v>
      </c>
      <c r="D46" s="321">
        <v>300</v>
      </c>
      <c r="E46" s="300"/>
      <c r="F46" s="302">
        <f t="shared" si="4"/>
        <v>0</v>
      </c>
      <c r="G46" s="467"/>
      <c r="H46" s="300">
        <v>2</v>
      </c>
      <c r="I46" s="310">
        <f t="shared" si="0"/>
        <v>600</v>
      </c>
      <c r="J46" s="486">
        <f t="shared" si="1"/>
        <v>600</v>
      </c>
      <c r="K46" s="85"/>
      <c r="L46" s="85"/>
    </row>
    <row r="47" spans="1:12" ht="13.5" customHeight="1" x14ac:dyDescent="0.2">
      <c r="A47" s="337" t="s">
        <v>275</v>
      </c>
      <c r="B47" s="291">
        <v>296</v>
      </c>
      <c r="C47" s="291" t="s">
        <v>44</v>
      </c>
      <c r="D47" s="321">
        <v>250</v>
      </c>
      <c r="E47" s="300"/>
      <c r="F47" s="302">
        <f t="shared" si="4"/>
        <v>0</v>
      </c>
      <c r="G47" s="467"/>
      <c r="H47" s="300">
        <v>2</v>
      </c>
      <c r="I47" s="310">
        <f t="shared" si="0"/>
        <v>500</v>
      </c>
      <c r="J47" s="486">
        <f t="shared" si="1"/>
        <v>500</v>
      </c>
      <c r="K47" s="85"/>
      <c r="L47" s="85"/>
    </row>
    <row r="48" spans="1:12" ht="13.5" customHeight="1" x14ac:dyDescent="0.2">
      <c r="A48" s="337" t="s">
        <v>269</v>
      </c>
      <c r="B48" s="291">
        <v>266</v>
      </c>
      <c r="C48" s="291" t="s">
        <v>44</v>
      </c>
      <c r="D48" s="321">
        <v>1000</v>
      </c>
      <c r="E48" s="300"/>
      <c r="F48" s="302">
        <f t="shared" si="4"/>
        <v>0</v>
      </c>
      <c r="G48" s="467"/>
      <c r="H48" s="300">
        <v>2</v>
      </c>
      <c r="I48" s="310">
        <f t="shared" si="0"/>
        <v>2000</v>
      </c>
      <c r="J48" s="486">
        <f t="shared" si="1"/>
        <v>2000</v>
      </c>
      <c r="K48" s="85"/>
      <c r="L48" s="85"/>
    </row>
    <row r="49" spans="1:12" ht="13.5" customHeight="1" x14ac:dyDescent="0.2">
      <c r="A49" s="337" t="s">
        <v>276</v>
      </c>
      <c r="B49" s="291">
        <v>266</v>
      </c>
      <c r="C49" s="291" t="s">
        <v>44</v>
      </c>
      <c r="D49" s="321">
        <v>600</v>
      </c>
      <c r="E49" s="300"/>
      <c r="F49" s="302">
        <f t="shared" si="4"/>
        <v>0</v>
      </c>
      <c r="G49" s="467"/>
      <c r="H49" s="300">
        <f>3*2</f>
        <v>6</v>
      </c>
      <c r="I49" s="310">
        <f t="shared" si="0"/>
        <v>3600</v>
      </c>
      <c r="J49" s="486">
        <f t="shared" si="1"/>
        <v>3600</v>
      </c>
      <c r="K49" s="85"/>
      <c r="L49" s="85"/>
    </row>
    <row r="50" spans="1:12" ht="13.5" customHeight="1" x14ac:dyDescent="0.2">
      <c r="A50" s="337" t="s">
        <v>273</v>
      </c>
      <c r="B50" s="291">
        <v>268</v>
      </c>
      <c r="C50" s="291" t="s">
        <v>67</v>
      </c>
      <c r="D50" s="321">
        <v>30</v>
      </c>
      <c r="E50" s="300"/>
      <c r="F50" s="302">
        <f t="shared" si="4"/>
        <v>0</v>
      </c>
      <c r="G50" s="467"/>
      <c r="H50" s="300">
        <v>8</v>
      </c>
      <c r="I50" s="310">
        <f t="shared" si="0"/>
        <v>240</v>
      </c>
      <c r="J50" s="486">
        <f t="shared" si="1"/>
        <v>240</v>
      </c>
      <c r="K50" s="85"/>
      <c r="L50" s="85"/>
    </row>
    <row r="51" spans="1:12" ht="13.5" customHeight="1" x14ac:dyDescent="0.2">
      <c r="A51" s="337" t="s">
        <v>270</v>
      </c>
      <c r="B51" s="291">
        <v>286</v>
      </c>
      <c r="C51" s="291" t="s">
        <v>67</v>
      </c>
      <c r="D51" s="321">
        <v>125</v>
      </c>
      <c r="E51" s="300"/>
      <c r="F51" s="302">
        <f t="shared" si="4"/>
        <v>0</v>
      </c>
      <c r="G51" s="467"/>
      <c r="H51" s="300">
        <f>3*2</f>
        <v>6</v>
      </c>
      <c r="I51" s="310">
        <f t="shared" si="0"/>
        <v>750</v>
      </c>
      <c r="J51" s="486">
        <f t="shared" si="1"/>
        <v>750</v>
      </c>
      <c r="K51" s="85"/>
      <c r="L51" s="85"/>
    </row>
    <row r="52" spans="1:12" ht="13.5" customHeight="1" x14ac:dyDescent="0.2">
      <c r="A52" s="337" t="s">
        <v>271</v>
      </c>
      <c r="B52" s="291">
        <v>113</v>
      </c>
      <c r="C52" s="291" t="s">
        <v>67</v>
      </c>
      <c r="D52" s="321">
        <v>50</v>
      </c>
      <c r="E52" s="300"/>
      <c r="F52" s="302">
        <f t="shared" si="4"/>
        <v>0</v>
      </c>
      <c r="G52" s="467"/>
      <c r="H52" s="300">
        <f>2*2*5</f>
        <v>20</v>
      </c>
      <c r="I52" s="310">
        <f t="shared" si="0"/>
        <v>1000</v>
      </c>
      <c r="J52" s="486">
        <f t="shared" si="1"/>
        <v>1000</v>
      </c>
      <c r="K52" s="85"/>
      <c r="L52" s="85"/>
    </row>
    <row r="53" spans="1:12" ht="13.5" customHeight="1" x14ac:dyDescent="0.2">
      <c r="A53" s="337" t="s">
        <v>78</v>
      </c>
      <c r="B53" s="291">
        <v>297</v>
      </c>
      <c r="C53" s="291" t="s">
        <v>272</v>
      </c>
      <c r="D53" s="321">
        <v>30</v>
      </c>
      <c r="E53" s="300"/>
      <c r="F53" s="302">
        <f t="shared" si="4"/>
        <v>0</v>
      </c>
      <c r="G53" s="467"/>
      <c r="H53" s="300">
        <f>2*2*2*5</f>
        <v>40</v>
      </c>
      <c r="I53" s="310">
        <f t="shared" si="0"/>
        <v>1200</v>
      </c>
      <c r="J53" s="486">
        <f t="shared" si="1"/>
        <v>1200</v>
      </c>
      <c r="K53" s="85"/>
      <c r="L53" s="85"/>
    </row>
    <row r="54" spans="1:12" ht="13.5" customHeight="1" thickBot="1" x14ac:dyDescent="0.25">
      <c r="A54" s="345" t="s">
        <v>277</v>
      </c>
      <c r="B54" s="347">
        <v>294</v>
      </c>
      <c r="C54" s="347" t="s">
        <v>67</v>
      </c>
      <c r="D54" s="409">
        <v>5000</v>
      </c>
      <c r="E54" s="439"/>
      <c r="F54" s="364">
        <f t="shared" si="4"/>
        <v>0</v>
      </c>
      <c r="G54" s="468"/>
      <c r="H54" s="439">
        <v>1</v>
      </c>
      <c r="I54" s="462">
        <f t="shared" si="0"/>
        <v>5000</v>
      </c>
      <c r="J54" s="487">
        <f t="shared" si="1"/>
        <v>5000</v>
      </c>
      <c r="K54" s="85"/>
      <c r="L54" s="85"/>
    </row>
    <row r="55" spans="1:12" ht="42" customHeight="1" thickBot="1" x14ac:dyDescent="0.25">
      <c r="A55" s="906" t="str">
        <f>MR!D14</f>
        <v>1.1.4 Se han implementado Talleres de sensibilización y organización comunitarias para la Prevencion y Control de incendios forestales en 12 comunidades del PNSL, en el marco de la CIF-M de Las Cruces y La Libertad.</v>
      </c>
      <c r="B55" s="907"/>
      <c r="C55" s="907"/>
      <c r="D55" s="410"/>
      <c r="E55" s="440"/>
      <c r="F55" s="357">
        <f>SUM(F56:F67)</f>
        <v>144900</v>
      </c>
      <c r="G55" s="465"/>
      <c r="H55" s="518"/>
      <c r="I55" s="351">
        <f>SUM(I56:I67)</f>
        <v>69601</v>
      </c>
      <c r="J55" s="483">
        <f t="shared" si="1"/>
        <v>214501</v>
      </c>
      <c r="K55" s="85"/>
      <c r="L55" s="85"/>
    </row>
    <row r="56" spans="1:12" s="54" customFormat="1" ht="13.5" customHeight="1" x14ac:dyDescent="0.2">
      <c r="A56" s="352" t="s">
        <v>34</v>
      </c>
      <c r="B56" s="353">
        <v>11</v>
      </c>
      <c r="C56" s="353" t="s">
        <v>94</v>
      </c>
      <c r="D56" s="407">
        <v>715</v>
      </c>
      <c r="E56" s="442">
        <v>0</v>
      </c>
      <c r="F56" s="361">
        <f t="shared" ref="F56:F67" si="5">E56*D56</f>
        <v>0</v>
      </c>
      <c r="G56" s="466">
        <v>2</v>
      </c>
      <c r="H56" s="441">
        <v>1</v>
      </c>
      <c r="I56" s="461">
        <f t="shared" si="0"/>
        <v>715</v>
      </c>
      <c r="J56" s="484">
        <f t="shared" si="1"/>
        <v>715</v>
      </c>
      <c r="K56" s="83"/>
      <c r="L56" s="83"/>
    </row>
    <row r="57" spans="1:12" s="55" customFormat="1" ht="15" x14ac:dyDescent="0.2">
      <c r="A57" s="337" t="s">
        <v>182</v>
      </c>
      <c r="B57" s="318" t="s">
        <v>192</v>
      </c>
      <c r="C57" s="291" t="s">
        <v>128</v>
      </c>
      <c r="D57" s="325">
        <v>557</v>
      </c>
      <c r="E57" s="300">
        <v>0</v>
      </c>
      <c r="F57" s="301">
        <f t="shared" si="5"/>
        <v>0</v>
      </c>
      <c r="G57" s="467">
        <v>2</v>
      </c>
      <c r="H57" s="300">
        <v>15</v>
      </c>
      <c r="I57" s="310">
        <f t="shared" si="0"/>
        <v>8355</v>
      </c>
      <c r="J57" s="486">
        <f t="shared" si="1"/>
        <v>8355</v>
      </c>
      <c r="K57" s="84"/>
      <c r="L57" s="84"/>
    </row>
    <row r="58" spans="1:12" s="55" customFormat="1" ht="15" x14ac:dyDescent="0.2">
      <c r="A58" s="337" t="s">
        <v>185</v>
      </c>
      <c r="B58" s="318" t="s">
        <v>193</v>
      </c>
      <c r="C58" s="291" t="s">
        <v>128</v>
      </c>
      <c r="D58" s="325">
        <v>185</v>
      </c>
      <c r="E58" s="300">
        <v>0</v>
      </c>
      <c r="F58" s="301">
        <f t="shared" si="5"/>
        <v>0</v>
      </c>
      <c r="G58" s="467">
        <v>2</v>
      </c>
      <c r="H58" s="300">
        <v>30</v>
      </c>
      <c r="I58" s="310">
        <f t="shared" si="0"/>
        <v>5550</v>
      </c>
      <c r="J58" s="486">
        <f t="shared" si="1"/>
        <v>5550</v>
      </c>
      <c r="K58" s="84"/>
      <c r="L58" s="84"/>
    </row>
    <row r="59" spans="1:12" s="54" customFormat="1" ht="13.5" customHeight="1" x14ac:dyDescent="0.2">
      <c r="A59" s="337" t="s">
        <v>184</v>
      </c>
      <c r="B59" s="318" t="s">
        <v>193</v>
      </c>
      <c r="C59" s="291" t="s">
        <v>94</v>
      </c>
      <c r="D59" s="325">
        <v>281</v>
      </c>
      <c r="E59" s="303">
        <v>0</v>
      </c>
      <c r="F59" s="301">
        <f t="shared" si="5"/>
        <v>0</v>
      </c>
      <c r="G59" s="467">
        <v>2</v>
      </c>
      <c r="H59" s="300">
        <v>30</v>
      </c>
      <c r="I59" s="310">
        <f t="shared" si="0"/>
        <v>8430</v>
      </c>
      <c r="J59" s="486">
        <f t="shared" si="1"/>
        <v>8430</v>
      </c>
      <c r="K59" s="83"/>
      <c r="L59" s="83"/>
    </row>
    <row r="60" spans="1:12" s="54" customFormat="1" ht="13.5" customHeight="1" x14ac:dyDescent="0.2">
      <c r="A60" s="337" t="s">
        <v>245</v>
      </c>
      <c r="B60" s="318" t="s">
        <v>193</v>
      </c>
      <c r="C60" s="291" t="s">
        <v>128</v>
      </c>
      <c r="D60" s="325">
        <v>105</v>
      </c>
      <c r="E60" s="303">
        <v>0</v>
      </c>
      <c r="F60" s="301">
        <f t="shared" si="5"/>
        <v>0</v>
      </c>
      <c r="G60" s="467">
        <v>2</v>
      </c>
      <c r="H60" s="300">
        <f>30*4</f>
        <v>120</v>
      </c>
      <c r="I60" s="310">
        <f t="shared" si="0"/>
        <v>12600</v>
      </c>
      <c r="J60" s="486">
        <f t="shared" si="1"/>
        <v>12600</v>
      </c>
      <c r="K60" s="83"/>
      <c r="L60" s="83"/>
    </row>
    <row r="61" spans="1:12" s="54" customFormat="1" ht="13.5" customHeight="1" x14ac:dyDescent="0.2">
      <c r="A61" s="337" t="s">
        <v>186</v>
      </c>
      <c r="B61" s="318" t="s">
        <v>193</v>
      </c>
      <c r="C61" s="291" t="s">
        <v>128</v>
      </c>
      <c r="D61" s="325">
        <f>8000/30</f>
        <v>266.66666666666669</v>
      </c>
      <c r="E61" s="303">
        <v>0</v>
      </c>
      <c r="F61" s="301">
        <f t="shared" si="5"/>
        <v>0</v>
      </c>
      <c r="G61" s="467">
        <v>2</v>
      </c>
      <c r="H61" s="300">
        <v>30</v>
      </c>
      <c r="I61" s="310">
        <f t="shared" si="0"/>
        <v>8000.0000000000009</v>
      </c>
      <c r="J61" s="486">
        <f t="shared" si="1"/>
        <v>8000.0000000000009</v>
      </c>
      <c r="K61" s="83"/>
      <c r="L61" s="83"/>
    </row>
    <row r="62" spans="1:12" ht="15" x14ac:dyDescent="0.2">
      <c r="A62" s="337" t="s">
        <v>68</v>
      </c>
      <c r="B62" s="291">
        <v>211</v>
      </c>
      <c r="C62" s="291" t="s">
        <v>63</v>
      </c>
      <c r="D62" s="321">
        <v>29</v>
      </c>
      <c r="E62" s="300">
        <f>23*90</f>
        <v>2070</v>
      </c>
      <c r="F62" s="301">
        <f t="shared" si="5"/>
        <v>60030</v>
      </c>
      <c r="G62" s="320">
        <v>1</v>
      </c>
      <c r="H62" s="300">
        <f>9*30</f>
        <v>270</v>
      </c>
      <c r="I62" s="310">
        <f t="shared" si="0"/>
        <v>7830</v>
      </c>
      <c r="J62" s="486">
        <f t="shared" si="1"/>
        <v>67860</v>
      </c>
      <c r="K62" s="85"/>
      <c r="L62" s="85"/>
    </row>
    <row r="63" spans="1:12" ht="15" x14ac:dyDescent="0.2">
      <c r="A63" s="337" t="s">
        <v>46</v>
      </c>
      <c r="B63" s="291">
        <v>211</v>
      </c>
      <c r="C63" s="291" t="s">
        <v>44</v>
      </c>
      <c r="D63" s="321">
        <v>41</v>
      </c>
      <c r="E63" s="300">
        <f>23*90</f>
        <v>2070</v>
      </c>
      <c r="F63" s="301">
        <f t="shared" si="5"/>
        <v>84870</v>
      </c>
      <c r="G63" s="320">
        <v>1</v>
      </c>
      <c r="H63" s="300">
        <f>270*0.3</f>
        <v>81</v>
      </c>
      <c r="I63" s="310">
        <f t="shared" si="0"/>
        <v>3321</v>
      </c>
      <c r="J63" s="486">
        <f t="shared" si="1"/>
        <v>88191</v>
      </c>
      <c r="K63" s="85"/>
      <c r="L63" s="85"/>
    </row>
    <row r="64" spans="1:12" ht="12.75" customHeight="1" x14ac:dyDescent="0.2">
      <c r="A64" s="337" t="s">
        <v>43</v>
      </c>
      <c r="B64" s="291">
        <v>262</v>
      </c>
      <c r="C64" s="291" t="s">
        <v>42</v>
      </c>
      <c r="D64" s="321">
        <v>40</v>
      </c>
      <c r="E64" s="300">
        <v>0</v>
      </c>
      <c r="F64" s="301">
        <f t="shared" si="5"/>
        <v>0</v>
      </c>
      <c r="G64" s="467">
        <v>2</v>
      </c>
      <c r="H64" s="300">
        <v>10</v>
      </c>
      <c r="I64" s="310">
        <f t="shared" si="0"/>
        <v>400</v>
      </c>
      <c r="J64" s="486">
        <f t="shared" si="1"/>
        <v>400</v>
      </c>
      <c r="K64" s="85"/>
      <c r="L64" s="85"/>
    </row>
    <row r="65" spans="1:12" ht="12.75" customHeight="1" x14ac:dyDescent="0.2">
      <c r="A65" s="337" t="s">
        <v>72</v>
      </c>
      <c r="B65" s="291">
        <v>262</v>
      </c>
      <c r="C65" s="291" t="s">
        <v>45</v>
      </c>
      <c r="D65" s="321">
        <v>40</v>
      </c>
      <c r="E65" s="300">
        <v>0</v>
      </c>
      <c r="F65" s="301">
        <f t="shared" si="5"/>
        <v>0</v>
      </c>
      <c r="G65" s="467">
        <v>2</v>
      </c>
      <c r="H65" s="300">
        <v>5</v>
      </c>
      <c r="I65" s="310">
        <f t="shared" si="0"/>
        <v>200</v>
      </c>
      <c r="J65" s="486">
        <f t="shared" si="1"/>
        <v>200</v>
      </c>
      <c r="K65" s="85"/>
      <c r="L65" s="85"/>
    </row>
    <row r="66" spans="1:12" ht="12.75" customHeight="1" x14ac:dyDescent="0.2">
      <c r="A66" s="337" t="s">
        <v>41</v>
      </c>
      <c r="B66" s="291">
        <v>262</v>
      </c>
      <c r="C66" s="291" t="s">
        <v>61</v>
      </c>
      <c r="D66" s="321">
        <v>35</v>
      </c>
      <c r="E66" s="300">
        <v>0</v>
      </c>
      <c r="F66" s="301">
        <f t="shared" si="5"/>
        <v>0</v>
      </c>
      <c r="G66" s="467">
        <v>2</v>
      </c>
      <c r="H66" s="300">
        <f>10*12</f>
        <v>120</v>
      </c>
      <c r="I66" s="310">
        <f t="shared" si="0"/>
        <v>4200</v>
      </c>
      <c r="J66" s="486">
        <f t="shared" si="1"/>
        <v>4200</v>
      </c>
      <c r="K66" s="85"/>
      <c r="L66" s="85"/>
    </row>
    <row r="67" spans="1:12" ht="12.75" customHeight="1" thickBot="1" x14ac:dyDescent="0.25">
      <c r="A67" s="345" t="s">
        <v>246</v>
      </c>
      <c r="B67" s="347">
        <v>211</v>
      </c>
      <c r="C67" s="347" t="s">
        <v>44</v>
      </c>
      <c r="D67" s="409">
        <v>10</v>
      </c>
      <c r="E67" s="439">
        <v>0</v>
      </c>
      <c r="F67" s="355">
        <f t="shared" si="5"/>
        <v>0</v>
      </c>
      <c r="G67" s="468">
        <v>2</v>
      </c>
      <c r="H67" s="439">
        <f>20*50</f>
        <v>1000</v>
      </c>
      <c r="I67" s="462">
        <f t="shared" si="0"/>
        <v>10000</v>
      </c>
      <c r="J67" s="487">
        <f t="shared" si="1"/>
        <v>10000</v>
      </c>
      <c r="K67" s="85"/>
      <c r="L67" s="85"/>
    </row>
    <row r="68" spans="1:12" ht="33" customHeight="1" thickBot="1" x14ac:dyDescent="0.3">
      <c r="A68" s="913" t="str">
        <f>MR!D15</f>
        <v>1.1.5 Se ha brindado mantenimiento y limpieza de 20 kilómetros de brechas corta fuegos en el PNSL, que incluyen polígonos comunitarios y brecha cortafuego al interior de la zona intangible del PNSL.</v>
      </c>
      <c r="B68" s="914"/>
      <c r="C68" s="914"/>
      <c r="D68" s="410"/>
      <c r="E68" s="440"/>
      <c r="F68" s="357">
        <f>SUM(F69:F78)</f>
        <v>15000</v>
      </c>
      <c r="G68" s="469"/>
      <c r="H68" s="450"/>
      <c r="I68" s="519">
        <f>SUM(I69:I78)</f>
        <v>35531</v>
      </c>
      <c r="J68" s="488">
        <f t="shared" si="1"/>
        <v>50531</v>
      </c>
      <c r="K68" s="85"/>
      <c r="L68" s="85"/>
    </row>
    <row r="69" spans="1:12" ht="12.75" customHeight="1" x14ac:dyDescent="0.2">
      <c r="A69" s="352" t="s">
        <v>182</v>
      </c>
      <c r="B69" s="362" t="s">
        <v>192</v>
      </c>
      <c r="C69" s="353" t="s">
        <v>128</v>
      </c>
      <c r="D69" s="411">
        <v>557</v>
      </c>
      <c r="E69" s="441">
        <v>0</v>
      </c>
      <c r="F69" s="361">
        <f t="shared" ref="F69:F78" si="6">E69*D69</f>
        <v>0</v>
      </c>
      <c r="G69" s="466">
        <v>2</v>
      </c>
      <c r="H69" s="441">
        <f>8</f>
        <v>8</v>
      </c>
      <c r="I69" s="461">
        <f t="shared" si="0"/>
        <v>4456</v>
      </c>
      <c r="J69" s="485">
        <f t="shared" si="1"/>
        <v>4456</v>
      </c>
      <c r="K69" s="85"/>
      <c r="L69" s="85"/>
    </row>
    <row r="70" spans="1:12" ht="12.75" customHeight="1" x14ac:dyDescent="0.2">
      <c r="A70" s="337" t="s">
        <v>185</v>
      </c>
      <c r="B70" s="318" t="s">
        <v>193</v>
      </c>
      <c r="C70" s="291" t="s">
        <v>128</v>
      </c>
      <c r="D70" s="325">
        <v>185</v>
      </c>
      <c r="E70" s="300">
        <v>0</v>
      </c>
      <c r="F70" s="301">
        <f t="shared" si="6"/>
        <v>0</v>
      </c>
      <c r="G70" s="467">
        <v>2</v>
      </c>
      <c r="H70" s="300">
        <v>30</v>
      </c>
      <c r="I70" s="310">
        <f t="shared" si="0"/>
        <v>5550</v>
      </c>
      <c r="J70" s="486">
        <f t="shared" si="1"/>
        <v>5550</v>
      </c>
      <c r="K70" s="85"/>
      <c r="L70" s="85"/>
    </row>
    <row r="71" spans="1:12" ht="12.75" customHeight="1" x14ac:dyDescent="0.2">
      <c r="A71" s="337" t="s">
        <v>184</v>
      </c>
      <c r="B71" s="318" t="s">
        <v>193</v>
      </c>
      <c r="C71" s="291" t="s">
        <v>94</v>
      </c>
      <c r="D71" s="325">
        <v>281</v>
      </c>
      <c r="E71" s="303">
        <v>0</v>
      </c>
      <c r="F71" s="301">
        <f t="shared" si="6"/>
        <v>0</v>
      </c>
      <c r="G71" s="467">
        <v>2</v>
      </c>
      <c r="H71" s="300">
        <v>15</v>
      </c>
      <c r="I71" s="310">
        <f t="shared" si="0"/>
        <v>4215</v>
      </c>
      <c r="J71" s="486">
        <f t="shared" si="1"/>
        <v>4215</v>
      </c>
      <c r="K71" s="85"/>
      <c r="L71" s="85"/>
    </row>
    <row r="72" spans="1:12" ht="12.75" customHeight="1" x14ac:dyDescent="0.2">
      <c r="A72" s="337" t="s">
        <v>222</v>
      </c>
      <c r="B72" s="318" t="s">
        <v>193</v>
      </c>
      <c r="C72" s="291" t="s">
        <v>128</v>
      </c>
      <c r="D72" s="325">
        <f>4550/30</f>
        <v>151.66666666666666</v>
      </c>
      <c r="E72" s="303">
        <v>0</v>
      </c>
      <c r="F72" s="301">
        <f t="shared" si="6"/>
        <v>0</v>
      </c>
      <c r="G72" s="467">
        <v>2</v>
      </c>
      <c r="H72" s="300">
        <v>30</v>
      </c>
      <c r="I72" s="310">
        <f t="shared" si="0"/>
        <v>4550</v>
      </c>
      <c r="J72" s="486">
        <f t="shared" si="1"/>
        <v>4550</v>
      </c>
      <c r="K72" s="85"/>
      <c r="L72" s="85"/>
    </row>
    <row r="73" spans="1:12" ht="12.75" customHeight="1" x14ac:dyDescent="0.2">
      <c r="A73" s="337" t="s">
        <v>68</v>
      </c>
      <c r="B73" s="291">
        <v>211</v>
      </c>
      <c r="C73" s="291" t="s">
        <v>63</v>
      </c>
      <c r="D73" s="321">
        <v>29</v>
      </c>
      <c r="E73" s="300"/>
      <c r="F73" s="301">
        <f t="shared" si="6"/>
        <v>0</v>
      </c>
      <c r="G73" s="467">
        <v>2</v>
      </c>
      <c r="H73" s="300">
        <v>120</v>
      </c>
      <c r="I73" s="310">
        <f t="shared" ref="I73:I78" si="7">D73*H73</f>
        <v>3480</v>
      </c>
      <c r="J73" s="486">
        <f t="shared" ref="J73:J113" si="8">F73+I73</f>
        <v>3480</v>
      </c>
      <c r="K73" s="85"/>
      <c r="L73" s="85"/>
    </row>
    <row r="74" spans="1:12" ht="12.75" customHeight="1" x14ac:dyDescent="0.2">
      <c r="A74" s="337" t="s">
        <v>46</v>
      </c>
      <c r="B74" s="291">
        <v>211</v>
      </c>
      <c r="C74" s="291" t="s">
        <v>44</v>
      </c>
      <c r="D74" s="321">
        <v>41</v>
      </c>
      <c r="E74" s="300"/>
      <c r="F74" s="301">
        <f t="shared" si="6"/>
        <v>0</v>
      </c>
      <c r="G74" s="467">
        <v>2</v>
      </c>
      <c r="H74" s="300">
        <v>100</v>
      </c>
      <c r="I74" s="310">
        <f t="shared" si="7"/>
        <v>4100</v>
      </c>
      <c r="J74" s="486">
        <f t="shared" si="8"/>
        <v>4100</v>
      </c>
      <c r="K74" s="85"/>
      <c r="L74" s="85"/>
    </row>
    <row r="75" spans="1:12" ht="12.75" customHeight="1" x14ac:dyDescent="0.2">
      <c r="A75" s="337" t="s">
        <v>43</v>
      </c>
      <c r="B75" s="291">
        <v>262</v>
      </c>
      <c r="C75" s="291" t="s">
        <v>42</v>
      </c>
      <c r="D75" s="321">
        <v>40</v>
      </c>
      <c r="E75" s="300"/>
      <c r="F75" s="301">
        <f t="shared" si="6"/>
        <v>0</v>
      </c>
      <c r="G75" s="467">
        <v>2</v>
      </c>
      <c r="H75" s="300">
        <f>15*4</f>
        <v>60</v>
      </c>
      <c r="I75" s="310">
        <f t="shared" si="7"/>
        <v>2400</v>
      </c>
      <c r="J75" s="486">
        <f t="shared" si="8"/>
        <v>2400</v>
      </c>
      <c r="K75" s="85"/>
      <c r="L75" s="85"/>
    </row>
    <row r="76" spans="1:12" ht="12.75" customHeight="1" x14ac:dyDescent="0.2">
      <c r="A76" s="337" t="s">
        <v>72</v>
      </c>
      <c r="B76" s="291">
        <v>262</v>
      </c>
      <c r="C76" s="291" t="s">
        <v>45</v>
      </c>
      <c r="D76" s="321">
        <v>40</v>
      </c>
      <c r="E76" s="300"/>
      <c r="F76" s="301">
        <f t="shared" si="6"/>
        <v>0</v>
      </c>
      <c r="G76" s="467">
        <v>2</v>
      </c>
      <c r="H76" s="300">
        <f>12</f>
        <v>12</v>
      </c>
      <c r="I76" s="310">
        <f t="shared" si="7"/>
        <v>480</v>
      </c>
      <c r="J76" s="486">
        <f t="shared" si="8"/>
        <v>480</v>
      </c>
      <c r="K76" s="85"/>
      <c r="L76" s="85"/>
    </row>
    <row r="77" spans="1:12" ht="12.75" customHeight="1" x14ac:dyDescent="0.2">
      <c r="A77" s="337" t="s">
        <v>41</v>
      </c>
      <c r="B77" s="291">
        <v>262</v>
      </c>
      <c r="C77" s="291" t="s">
        <v>61</v>
      </c>
      <c r="D77" s="321">
        <v>35</v>
      </c>
      <c r="E77" s="300"/>
      <c r="F77" s="301">
        <f t="shared" si="6"/>
        <v>0</v>
      </c>
      <c r="G77" s="467">
        <v>2</v>
      </c>
      <c r="H77" s="300">
        <f>12*5*3</f>
        <v>180</v>
      </c>
      <c r="I77" s="310">
        <f t="shared" si="7"/>
        <v>6300</v>
      </c>
      <c r="J77" s="486">
        <f t="shared" si="8"/>
        <v>6300</v>
      </c>
      <c r="K77" s="85"/>
      <c r="L77" s="85"/>
    </row>
    <row r="78" spans="1:12" ht="12.75" customHeight="1" thickBot="1" x14ac:dyDescent="0.25">
      <c r="A78" s="345" t="s">
        <v>337</v>
      </c>
      <c r="B78" s="347">
        <v>29</v>
      </c>
      <c r="C78" s="347" t="s">
        <v>128</v>
      </c>
      <c r="D78" s="409">
        <v>100</v>
      </c>
      <c r="E78" s="439">
        <v>150</v>
      </c>
      <c r="F78" s="355">
        <f t="shared" si="6"/>
        <v>15000</v>
      </c>
      <c r="G78" s="468"/>
      <c r="H78" s="439"/>
      <c r="I78" s="462">
        <f t="shared" si="7"/>
        <v>0</v>
      </c>
      <c r="J78" s="487">
        <f t="shared" si="8"/>
        <v>15000</v>
      </c>
      <c r="K78" s="85"/>
      <c r="L78" s="85"/>
    </row>
    <row r="79" spans="1:12" ht="38.25" customHeight="1" thickBot="1" x14ac:dyDescent="0.25">
      <c r="A79" s="906" t="str">
        <f>MR!D16</f>
        <v xml:space="preserve">1.1.6 Se ha denunciado y Procurado  ante el Ministerio Público los actos ilicitos relacionados con el delito de incendios forestales </v>
      </c>
      <c r="B79" s="907"/>
      <c r="C79" s="907"/>
      <c r="D79" s="410"/>
      <c r="E79" s="440"/>
      <c r="F79" s="357">
        <f>SUM(F80:F83)</f>
        <v>0</v>
      </c>
      <c r="G79" s="465"/>
      <c r="H79" s="518"/>
      <c r="I79" s="351">
        <f>SUM(I80:I83)</f>
        <v>30355</v>
      </c>
      <c r="J79" s="483">
        <f t="shared" si="8"/>
        <v>30355</v>
      </c>
    </row>
    <row r="80" spans="1:12" s="55" customFormat="1" ht="15" x14ac:dyDescent="0.2">
      <c r="A80" s="352" t="s">
        <v>361</v>
      </c>
      <c r="B80" s="362" t="s">
        <v>170</v>
      </c>
      <c r="C80" s="353" t="s">
        <v>94</v>
      </c>
      <c r="D80" s="411">
        <v>281</v>
      </c>
      <c r="E80" s="442">
        <v>0</v>
      </c>
      <c r="F80" s="361">
        <f t="shared" ref="F80:F83" si="9">E80*D80</f>
        <v>0</v>
      </c>
      <c r="G80" s="466">
        <v>2</v>
      </c>
      <c r="H80" s="441">
        <v>30</v>
      </c>
      <c r="I80" s="461">
        <f t="shared" ref="I80:I83" si="10">D80*H80</f>
        <v>8430</v>
      </c>
      <c r="J80" s="485">
        <f t="shared" si="8"/>
        <v>8430</v>
      </c>
    </row>
    <row r="81" spans="1:12" s="55" customFormat="1" ht="15" x14ac:dyDescent="0.2">
      <c r="A81" s="337" t="s">
        <v>34</v>
      </c>
      <c r="B81" s="291">
        <v>11</v>
      </c>
      <c r="C81" s="291" t="s">
        <v>94</v>
      </c>
      <c r="D81" s="321">
        <v>715</v>
      </c>
      <c r="E81" s="303">
        <v>0</v>
      </c>
      <c r="F81" s="301">
        <f t="shared" si="9"/>
        <v>0</v>
      </c>
      <c r="G81" s="467">
        <v>2</v>
      </c>
      <c r="H81" s="300">
        <v>30</v>
      </c>
      <c r="I81" s="310">
        <f t="shared" si="10"/>
        <v>21450</v>
      </c>
      <c r="J81" s="481">
        <f t="shared" si="8"/>
        <v>21450</v>
      </c>
    </row>
    <row r="82" spans="1:12" s="55" customFormat="1" ht="15" x14ac:dyDescent="0.2">
      <c r="A82" s="338" t="s">
        <v>163</v>
      </c>
      <c r="B82" s="319">
        <v>241</v>
      </c>
      <c r="C82" s="319" t="s">
        <v>67</v>
      </c>
      <c r="D82" s="324">
        <v>50</v>
      </c>
      <c r="E82" s="300">
        <v>0</v>
      </c>
      <c r="F82" s="301">
        <f t="shared" si="9"/>
        <v>0</v>
      </c>
      <c r="G82" s="467">
        <v>2</v>
      </c>
      <c r="H82" s="520">
        <v>0.5</v>
      </c>
      <c r="I82" s="310">
        <f t="shared" si="10"/>
        <v>25</v>
      </c>
      <c r="J82" s="486">
        <f t="shared" si="8"/>
        <v>25</v>
      </c>
      <c r="K82" s="84"/>
      <c r="L82" s="84"/>
    </row>
    <row r="83" spans="1:12" s="55" customFormat="1" ht="15.75" thickBot="1" x14ac:dyDescent="0.25">
      <c r="A83" s="365" t="s">
        <v>74</v>
      </c>
      <c r="B83" s="366">
        <v>267</v>
      </c>
      <c r="C83" s="366" t="s">
        <v>67</v>
      </c>
      <c r="D83" s="412">
        <v>450</v>
      </c>
      <c r="E83" s="439">
        <v>0</v>
      </c>
      <c r="F83" s="355">
        <f t="shared" si="9"/>
        <v>0</v>
      </c>
      <c r="G83" s="468">
        <v>2</v>
      </c>
      <c r="H83" s="439">
        <v>1</v>
      </c>
      <c r="I83" s="462">
        <f t="shared" si="10"/>
        <v>450</v>
      </c>
      <c r="J83" s="487">
        <f t="shared" si="8"/>
        <v>450</v>
      </c>
      <c r="K83" s="84"/>
      <c r="L83" s="84"/>
    </row>
    <row r="84" spans="1:12" ht="38.25" customHeight="1" thickBot="1" x14ac:dyDescent="0.25">
      <c r="A84" s="906" t="str">
        <f>MR!D17</f>
        <v>1.2.1 Capacitación al personal técnico sobre normatividad para el aprovechamiento de flora y fauna</v>
      </c>
      <c r="B84" s="907"/>
      <c r="C84" s="907"/>
      <c r="D84" s="410"/>
      <c r="E84" s="440"/>
      <c r="F84" s="357">
        <f>SUM(F85:F90)</f>
        <v>0</v>
      </c>
      <c r="G84" s="465"/>
      <c r="H84" s="518"/>
      <c r="I84" s="351">
        <f>SUM(I85:I90)</f>
        <v>8880</v>
      </c>
      <c r="J84" s="483">
        <f t="shared" si="8"/>
        <v>8880</v>
      </c>
    </row>
    <row r="85" spans="1:12" s="55" customFormat="1" ht="15.75" x14ac:dyDescent="0.2">
      <c r="A85" s="352" t="s">
        <v>194</v>
      </c>
      <c r="B85" s="362" t="s">
        <v>171</v>
      </c>
      <c r="C85" s="353" t="s">
        <v>94</v>
      </c>
      <c r="D85" s="411">
        <v>202</v>
      </c>
      <c r="E85" s="443"/>
      <c r="F85" s="444">
        <f t="shared" ref="F85:F90" si="11">E85*D85</f>
        <v>0</v>
      </c>
      <c r="G85" s="466">
        <v>2</v>
      </c>
      <c r="H85" s="442">
        <v>6</v>
      </c>
      <c r="I85" s="521">
        <f t="shared" ref="I85:I90" si="12">D85*H85</f>
        <v>1212</v>
      </c>
      <c r="J85" s="489">
        <f t="shared" si="8"/>
        <v>1212</v>
      </c>
    </row>
    <row r="86" spans="1:12" ht="15" x14ac:dyDescent="0.2">
      <c r="A86" s="337" t="s">
        <v>182</v>
      </c>
      <c r="B86" s="318" t="s">
        <v>192</v>
      </c>
      <c r="C86" s="291" t="s">
        <v>94</v>
      </c>
      <c r="D86" s="325">
        <v>557</v>
      </c>
      <c r="E86" s="304">
        <v>0</v>
      </c>
      <c r="F86" s="305">
        <f t="shared" si="11"/>
        <v>0</v>
      </c>
      <c r="G86" s="322">
        <v>2</v>
      </c>
      <c r="H86" s="304">
        <v>6</v>
      </c>
      <c r="I86" s="522">
        <f t="shared" si="12"/>
        <v>3342</v>
      </c>
      <c r="J86" s="490">
        <f t="shared" si="8"/>
        <v>3342</v>
      </c>
    </row>
    <row r="87" spans="1:12" ht="15" x14ac:dyDescent="0.2">
      <c r="A87" s="343" t="s">
        <v>185</v>
      </c>
      <c r="B87" s="342">
        <v>29</v>
      </c>
      <c r="C87" s="342" t="s">
        <v>94</v>
      </c>
      <c r="D87" s="408">
        <v>185</v>
      </c>
      <c r="E87" s="304">
        <v>0</v>
      </c>
      <c r="F87" s="305">
        <f t="shared" si="11"/>
        <v>0</v>
      </c>
      <c r="G87" s="322">
        <v>2</v>
      </c>
      <c r="H87" s="304">
        <v>6</v>
      </c>
      <c r="I87" s="522">
        <f t="shared" si="12"/>
        <v>1110</v>
      </c>
      <c r="J87" s="490">
        <f t="shared" si="8"/>
        <v>1110</v>
      </c>
    </row>
    <row r="88" spans="1:12" ht="15" x14ac:dyDescent="0.2">
      <c r="A88" s="343" t="s">
        <v>184</v>
      </c>
      <c r="B88" s="342">
        <v>29</v>
      </c>
      <c r="C88" s="342" t="s">
        <v>128</v>
      </c>
      <c r="D88" s="408">
        <v>281</v>
      </c>
      <c r="E88" s="304">
        <v>0</v>
      </c>
      <c r="F88" s="305">
        <f t="shared" si="11"/>
        <v>0</v>
      </c>
      <c r="G88" s="322">
        <v>2</v>
      </c>
      <c r="H88" s="304">
        <v>6</v>
      </c>
      <c r="I88" s="522">
        <f t="shared" si="12"/>
        <v>1686</v>
      </c>
      <c r="J88" s="490">
        <f t="shared" si="8"/>
        <v>1686</v>
      </c>
    </row>
    <row r="89" spans="1:12" ht="15" x14ac:dyDescent="0.2">
      <c r="A89" s="343" t="s">
        <v>191</v>
      </c>
      <c r="B89" s="342">
        <v>29</v>
      </c>
      <c r="C89" s="342" t="s">
        <v>128</v>
      </c>
      <c r="D89" s="408">
        <v>105</v>
      </c>
      <c r="E89" s="304">
        <v>0</v>
      </c>
      <c r="F89" s="305">
        <f t="shared" si="11"/>
        <v>0</v>
      </c>
      <c r="G89" s="322">
        <v>2</v>
      </c>
      <c r="H89" s="304">
        <v>6</v>
      </c>
      <c r="I89" s="522">
        <f t="shared" si="12"/>
        <v>630</v>
      </c>
      <c r="J89" s="490">
        <f t="shared" si="8"/>
        <v>630</v>
      </c>
    </row>
    <row r="90" spans="1:12" ht="15.75" thickBot="1" x14ac:dyDescent="0.25">
      <c r="A90" s="367" t="s">
        <v>162</v>
      </c>
      <c r="B90" s="368">
        <v>211</v>
      </c>
      <c r="C90" s="368" t="s">
        <v>44</v>
      </c>
      <c r="D90" s="413">
        <v>15</v>
      </c>
      <c r="E90" s="445">
        <v>0</v>
      </c>
      <c r="F90" s="384">
        <f t="shared" si="11"/>
        <v>0</v>
      </c>
      <c r="G90" s="470">
        <v>2</v>
      </c>
      <c r="H90" s="445">
        <v>60</v>
      </c>
      <c r="I90" s="523">
        <f t="shared" si="12"/>
        <v>900</v>
      </c>
      <c r="J90" s="491">
        <f t="shared" si="8"/>
        <v>900</v>
      </c>
    </row>
    <row r="91" spans="1:12" ht="38.25" customHeight="1" thickBot="1" x14ac:dyDescent="0.25">
      <c r="A91" s="906" t="str">
        <f>MR!D18</f>
        <v>1.2.2 Emisión de informes de opinión técnica sobre solicitudes de aprovechamiento y/o manejo de flora y fauna, así como de proyectos de inversión social.</v>
      </c>
      <c r="B91" s="907"/>
      <c r="C91" s="907"/>
      <c r="D91" s="410"/>
      <c r="E91" s="440"/>
      <c r="F91" s="357">
        <f>SUM(F92:F97)</f>
        <v>0</v>
      </c>
      <c r="G91" s="471"/>
      <c r="H91" s="518"/>
      <c r="I91" s="351">
        <f>SUM(I92:I97)</f>
        <v>26225</v>
      </c>
      <c r="J91" s="483">
        <f t="shared" si="8"/>
        <v>26225</v>
      </c>
    </row>
    <row r="92" spans="1:12" s="167" customFormat="1" ht="17.100000000000001" customHeight="1" x14ac:dyDescent="0.2">
      <c r="A92" s="370" t="s">
        <v>194</v>
      </c>
      <c r="B92" s="371">
        <v>29</v>
      </c>
      <c r="C92" s="371" t="s">
        <v>128</v>
      </c>
      <c r="D92" s="414">
        <v>202</v>
      </c>
      <c r="E92" s="446">
        <v>0</v>
      </c>
      <c r="F92" s="354">
        <f t="shared" ref="F92:F97" si="13">E92*D92</f>
        <v>0</v>
      </c>
      <c r="G92" s="472">
        <v>2</v>
      </c>
      <c r="H92" s="442">
        <v>21</v>
      </c>
      <c r="I92" s="372">
        <f t="shared" ref="I92:I97" si="14">D92*H92</f>
        <v>4242</v>
      </c>
      <c r="J92" s="492">
        <f t="shared" si="8"/>
        <v>4242</v>
      </c>
    </row>
    <row r="93" spans="1:12" s="167" customFormat="1" ht="21" customHeight="1" x14ac:dyDescent="0.2">
      <c r="A93" s="337" t="s">
        <v>182</v>
      </c>
      <c r="B93" s="318" t="s">
        <v>192</v>
      </c>
      <c r="C93" s="291" t="s">
        <v>94</v>
      </c>
      <c r="D93" s="325">
        <v>557</v>
      </c>
      <c r="E93" s="304">
        <v>0</v>
      </c>
      <c r="F93" s="306">
        <f t="shared" si="13"/>
        <v>0</v>
      </c>
      <c r="G93" s="322">
        <v>2</v>
      </c>
      <c r="H93" s="303">
        <v>21</v>
      </c>
      <c r="I93" s="312">
        <f t="shared" si="14"/>
        <v>11697</v>
      </c>
      <c r="J93" s="493">
        <f t="shared" si="8"/>
        <v>11697</v>
      </c>
    </row>
    <row r="94" spans="1:12" s="167" customFormat="1" ht="21" customHeight="1" x14ac:dyDescent="0.2">
      <c r="A94" s="343" t="s">
        <v>185</v>
      </c>
      <c r="B94" s="342">
        <v>29</v>
      </c>
      <c r="C94" s="342" t="s">
        <v>94</v>
      </c>
      <c r="D94" s="408">
        <v>185</v>
      </c>
      <c r="E94" s="304">
        <v>0</v>
      </c>
      <c r="F94" s="305">
        <f t="shared" si="13"/>
        <v>0</v>
      </c>
      <c r="G94" s="322">
        <v>2</v>
      </c>
      <c r="H94" s="304">
        <v>21</v>
      </c>
      <c r="I94" s="522">
        <f t="shared" si="14"/>
        <v>3885</v>
      </c>
      <c r="J94" s="490">
        <f t="shared" si="8"/>
        <v>3885</v>
      </c>
    </row>
    <row r="95" spans="1:12" s="167" customFormat="1" ht="21" customHeight="1" x14ac:dyDescent="0.2">
      <c r="A95" s="343" t="s">
        <v>184</v>
      </c>
      <c r="B95" s="342">
        <v>29</v>
      </c>
      <c r="C95" s="342" t="s">
        <v>128</v>
      </c>
      <c r="D95" s="408">
        <v>281</v>
      </c>
      <c r="E95" s="304">
        <v>0</v>
      </c>
      <c r="F95" s="305">
        <f t="shared" si="13"/>
        <v>0</v>
      </c>
      <c r="G95" s="322">
        <v>2</v>
      </c>
      <c r="H95" s="304">
        <v>21</v>
      </c>
      <c r="I95" s="522">
        <f t="shared" si="14"/>
        <v>5901</v>
      </c>
      <c r="J95" s="490">
        <f t="shared" si="8"/>
        <v>5901</v>
      </c>
    </row>
    <row r="96" spans="1:12" s="167" customFormat="1" ht="17.100000000000001" customHeight="1" x14ac:dyDescent="0.2">
      <c r="A96" s="338" t="s">
        <v>163</v>
      </c>
      <c r="B96" s="319">
        <v>241</v>
      </c>
      <c r="C96" s="319" t="s">
        <v>67</v>
      </c>
      <c r="D96" s="324">
        <v>50</v>
      </c>
      <c r="E96" s="304">
        <v>0</v>
      </c>
      <c r="F96" s="306">
        <f t="shared" si="13"/>
        <v>0</v>
      </c>
      <c r="G96" s="322">
        <v>2</v>
      </c>
      <c r="H96" s="303">
        <v>1</v>
      </c>
      <c r="I96" s="312">
        <f t="shared" si="14"/>
        <v>50</v>
      </c>
      <c r="J96" s="493">
        <f t="shared" si="8"/>
        <v>50</v>
      </c>
    </row>
    <row r="97" spans="1:10" s="167" customFormat="1" ht="18.95" customHeight="1" thickBot="1" x14ac:dyDescent="0.25">
      <c r="A97" s="365" t="s">
        <v>74</v>
      </c>
      <c r="B97" s="366">
        <v>267</v>
      </c>
      <c r="C97" s="366" t="s">
        <v>67</v>
      </c>
      <c r="D97" s="412">
        <v>450</v>
      </c>
      <c r="E97" s="445">
        <v>0</v>
      </c>
      <c r="F97" s="377">
        <f t="shared" si="13"/>
        <v>0</v>
      </c>
      <c r="G97" s="470">
        <v>2</v>
      </c>
      <c r="H97" s="448">
        <v>1</v>
      </c>
      <c r="I97" s="373">
        <f t="shared" si="14"/>
        <v>450</v>
      </c>
      <c r="J97" s="494">
        <f t="shared" si="8"/>
        <v>450</v>
      </c>
    </row>
    <row r="98" spans="1:10" ht="38.25" customHeight="1" thickBot="1" x14ac:dyDescent="0.25">
      <c r="A98" s="906" t="str">
        <f>MR!D19</f>
        <v xml:space="preserve">1.3.1 Emisión de informes técnicos sobre solicitudes licencias de caza y pesca </v>
      </c>
      <c r="B98" s="907"/>
      <c r="C98" s="907"/>
      <c r="D98" s="410"/>
      <c r="E98" s="440"/>
      <c r="F98" s="357">
        <f>SUM(F99:F102)</f>
        <v>0</v>
      </c>
      <c r="G98" s="471"/>
      <c r="H98" s="518"/>
      <c r="I98" s="351">
        <f>SUM(I99:I102)</f>
        <v>4295</v>
      </c>
      <c r="J98" s="479">
        <f t="shared" si="8"/>
        <v>4295</v>
      </c>
    </row>
    <row r="99" spans="1:10" s="167" customFormat="1" ht="18.95" customHeight="1" x14ac:dyDescent="0.2">
      <c r="A99" s="370" t="s">
        <v>194</v>
      </c>
      <c r="B99" s="371">
        <v>29</v>
      </c>
      <c r="C99" s="371" t="s">
        <v>128</v>
      </c>
      <c r="D99" s="414">
        <v>202</v>
      </c>
      <c r="E99" s="446">
        <v>0</v>
      </c>
      <c r="F99" s="354">
        <f t="shared" ref="F99:F102" si="15">E99*D99</f>
        <v>0</v>
      </c>
      <c r="G99" s="472">
        <v>2</v>
      </c>
      <c r="H99" s="442">
        <v>5</v>
      </c>
      <c r="I99" s="372">
        <f t="shared" ref="I99:I102" si="16">D99*H99</f>
        <v>1010</v>
      </c>
      <c r="J99" s="492">
        <f t="shared" si="8"/>
        <v>1010</v>
      </c>
    </row>
    <row r="100" spans="1:10" s="167" customFormat="1" ht="12" customHeight="1" x14ac:dyDescent="0.2">
      <c r="A100" s="337" t="s">
        <v>182</v>
      </c>
      <c r="B100" s="318" t="s">
        <v>192</v>
      </c>
      <c r="C100" s="291" t="s">
        <v>94</v>
      </c>
      <c r="D100" s="325">
        <v>557</v>
      </c>
      <c r="E100" s="304">
        <v>0</v>
      </c>
      <c r="F100" s="306">
        <f t="shared" si="15"/>
        <v>0</v>
      </c>
      <c r="G100" s="322">
        <v>2</v>
      </c>
      <c r="H100" s="303">
        <v>5</v>
      </c>
      <c r="I100" s="312">
        <f t="shared" si="16"/>
        <v>2785</v>
      </c>
      <c r="J100" s="493">
        <f t="shared" si="8"/>
        <v>2785</v>
      </c>
    </row>
    <row r="101" spans="1:10" s="167" customFormat="1" ht="18" customHeight="1" x14ac:dyDescent="0.2">
      <c r="A101" s="338" t="s">
        <v>163</v>
      </c>
      <c r="B101" s="319">
        <v>241</v>
      </c>
      <c r="C101" s="319" t="s">
        <v>67</v>
      </c>
      <c r="D101" s="324">
        <v>50</v>
      </c>
      <c r="E101" s="304">
        <v>0</v>
      </c>
      <c r="F101" s="306">
        <f t="shared" si="15"/>
        <v>0</v>
      </c>
      <c r="G101" s="322">
        <v>2</v>
      </c>
      <c r="H101" s="303">
        <v>1</v>
      </c>
      <c r="I101" s="312">
        <f t="shared" si="16"/>
        <v>50</v>
      </c>
      <c r="J101" s="493">
        <f t="shared" si="8"/>
        <v>50</v>
      </c>
    </row>
    <row r="102" spans="1:10" s="167" customFormat="1" ht="17.100000000000001" customHeight="1" thickBot="1" x14ac:dyDescent="0.25">
      <c r="A102" s="365" t="s">
        <v>74</v>
      </c>
      <c r="B102" s="366">
        <v>267</v>
      </c>
      <c r="C102" s="366" t="s">
        <v>67</v>
      </c>
      <c r="D102" s="412">
        <v>450</v>
      </c>
      <c r="E102" s="445">
        <v>0</v>
      </c>
      <c r="F102" s="377">
        <f t="shared" si="15"/>
        <v>0</v>
      </c>
      <c r="G102" s="470">
        <v>2</v>
      </c>
      <c r="H102" s="448">
        <v>1</v>
      </c>
      <c r="I102" s="373">
        <f t="shared" si="16"/>
        <v>450</v>
      </c>
      <c r="J102" s="494">
        <f t="shared" si="8"/>
        <v>450</v>
      </c>
    </row>
    <row r="103" spans="1:10" ht="38.25" customHeight="1" thickBot="1" x14ac:dyDescent="0.25">
      <c r="A103" s="906" t="str">
        <f>MR!D20</f>
        <v xml:space="preserve">1.3.2 Monitoreo de licencias de caza y pesca en PNSL en coordinación con el CONAP, </v>
      </c>
      <c r="B103" s="907"/>
      <c r="C103" s="907"/>
      <c r="D103" s="410"/>
      <c r="E103" s="440"/>
      <c r="F103" s="357">
        <f>SUM(F104)</f>
        <v>0</v>
      </c>
      <c r="G103" s="471"/>
      <c r="H103" s="518"/>
      <c r="I103" s="351">
        <f>SUM(I104)</f>
        <v>1124</v>
      </c>
      <c r="J103" s="483">
        <f t="shared" si="8"/>
        <v>1124</v>
      </c>
    </row>
    <row r="104" spans="1:10" s="167" customFormat="1" ht="18" customHeight="1" thickBot="1" x14ac:dyDescent="0.25">
      <c r="A104" s="374" t="s">
        <v>361</v>
      </c>
      <c r="B104" s="375">
        <v>11</v>
      </c>
      <c r="C104" s="375" t="s">
        <v>128</v>
      </c>
      <c r="D104" s="415">
        <v>281</v>
      </c>
      <c r="E104" s="447">
        <v>0</v>
      </c>
      <c r="F104" s="376">
        <f>E104*D104</f>
        <v>0</v>
      </c>
      <c r="G104" s="473">
        <v>2</v>
      </c>
      <c r="H104" s="524">
        <v>4</v>
      </c>
      <c r="I104" s="525">
        <f t="shared" ref="I104" si="17">D104*H104</f>
        <v>1124</v>
      </c>
      <c r="J104" s="495">
        <f t="shared" si="8"/>
        <v>1124</v>
      </c>
    </row>
    <row r="105" spans="1:10" s="167" customFormat="1" ht="44.25" customHeight="1" thickBot="1" x14ac:dyDescent="0.25">
      <c r="A105" s="906" t="str">
        <f>MR!D21</f>
        <v>1.4.1 Monitoreo de la dinámica de regeneracion natural en coordinación con CEMEC en poligono de Centro Campesino.</v>
      </c>
      <c r="B105" s="907"/>
      <c r="C105" s="907"/>
      <c r="D105" s="410"/>
      <c r="E105" s="440"/>
      <c r="F105" s="382">
        <f>SUM(F106:F113)</f>
        <v>1818</v>
      </c>
      <c r="G105" s="471"/>
      <c r="H105" s="526"/>
      <c r="I105" s="382">
        <f>SUM(I106:I113)</f>
        <v>21257.1</v>
      </c>
      <c r="J105" s="483">
        <f t="shared" si="8"/>
        <v>23075.1</v>
      </c>
    </row>
    <row r="106" spans="1:10" s="167" customFormat="1" ht="15" x14ac:dyDescent="0.2">
      <c r="A106" s="370" t="s">
        <v>361</v>
      </c>
      <c r="B106" s="371">
        <v>11</v>
      </c>
      <c r="C106" s="371" t="s">
        <v>128</v>
      </c>
      <c r="D106" s="416">
        <v>281</v>
      </c>
      <c r="E106" s="446">
        <v>0</v>
      </c>
      <c r="F106" s="354">
        <f t="shared" ref="F106:F113" si="18">E106*D106</f>
        <v>0</v>
      </c>
      <c r="G106" s="472">
        <v>2</v>
      </c>
      <c r="H106" s="442">
        <f>365*0.05</f>
        <v>18.25</v>
      </c>
      <c r="I106" s="372">
        <f t="shared" ref="I106:I113" si="19">D106*H106</f>
        <v>5128.25</v>
      </c>
      <c r="J106" s="480">
        <f t="shared" si="8"/>
        <v>5128.25</v>
      </c>
    </row>
    <row r="107" spans="1:10" s="167" customFormat="1" ht="15" x14ac:dyDescent="0.2">
      <c r="A107" s="338" t="s">
        <v>159</v>
      </c>
      <c r="B107" s="319">
        <v>11</v>
      </c>
      <c r="C107" s="319" t="s">
        <v>94</v>
      </c>
      <c r="D107" s="323">
        <v>101</v>
      </c>
      <c r="E107" s="304">
        <f>2*9</f>
        <v>18</v>
      </c>
      <c r="F107" s="306">
        <f t="shared" si="18"/>
        <v>1818</v>
      </c>
      <c r="G107" s="322">
        <v>2</v>
      </c>
      <c r="H107" s="303">
        <f>365*0.05</f>
        <v>18.25</v>
      </c>
      <c r="I107" s="312">
        <f t="shared" si="19"/>
        <v>1843.25</v>
      </c>
      <c r="J107" s="496">
        <f t="shared" si="8"/>
        <v>3661.25</v>
      </c>
    </row>
    <row r="108" spans="1:10" s="167" customFormat="1" ht="15" x14ac:dyDescent="0.2">
      <c r="A108" s="338" t="s">
        <v>168</v>
      </c>
      <c r="B108" s="319">
        <v>29</v>
      </c>
      <c r="C108" s="319" t="s">
        <v>128</v>
      </c>
      <c r="D108" s="323">
        <v>152</v>
      </c>
      <c r="E108" s="304">
        <v>0</v>
      </c>
      <c r="F108" s="306">
        <f t="shared" si="18"/>
        <v>0</v>
      </c>
      <c r="G108" s="322">
        <v>2</v>
      </c>
      <c r="H108" s="303">
        <f>365*0.05</f>
        <v>18.25</v>
      </c>
      <c r="I108" s="312">
        <f t="shared" si="19"/>
        <v>2774</v>
      </c>
      <c r="J108" s="496">
        <f t="shared" si="8"/>
        <v>2774</v>
      </c>
    </row>
    <row r="109" spans="1:10" s="167" customFormat="1" ht="15" x14ac:dyDescent="0.2">
      <c r="A109" s="338" t="s">
        <v>68</v>
      </c>
      <c r="B109" s="291">
        <v>211</v>
      </c>
      <c r="C109" s="291" t="s">
        <v>128</v>
      </c>
      <c r="D109" s="321">
        <v>29</v>
      </c>
      <c r="E109" s="304"/>
      <c r="F109" s="306">
        <f t="shared" si="18"/>
        <v>0</v>
      </c>
      <c r="G109" s="322">
        <v>2</v>
      </c>
      <c r="H109" s="303">
        <f>18*0.7*4</f>
        <v>50.4</v>
      </c>
      <c r="I109" s="312">
        <f t="shared" si="19"/>
        <v>1461.6</v>
      </c>
      <c r="J109" s="496">
        <f t="shared" si="8"/>
        <v>1461.6</v>
      </c>
    </row>
    <row r="110" spans="1:10" s="167" customFormat="1" ht="15" x14ac:dyDescent="0.2">
      <c r="A110" s="337" t="s">
        <v>46</v>
      </c>
      <c r="B110" s="291">
        <v>211</v>
      </c>
      <c r="C110" s="291" t="s">
        <v>44</v>
      </c>
      <c r="D110" s="321">
        <v>41</v>
      </c>
      <c r="E110" s="304">
        <v>0</v>
      </c>
      <c r="F110" s="306">
        <f t="shared" si="18"/>
        <v>0</v>
      </c>
      <c r="G110" s="322">
        <v>2</v>
      </c>
      <c r="H110" s="303">
        <v>30</v>
      </c>
      <c r="I110" s="312">
        <f t="shared" si="19"/>
        <v>1230</v>
      </c>
      <c r="J110" s="496">
        <f t="shared" si="8"/>
        <v>1230</v>
      </c>
    </row>
    <row r="111" spans="1:10" s="167" customFormat="1" ht="15" x14ac:dyDescent="0.2">
      <c r="A111" s="337" t="s">
        <v>43</v>
      </c>
      <c r="B111" s="291">
        <v>262</v>
      </c>
      <c r="C111" s="291" t="s">
        <v>42</v>
      </c>
      <c r="D111" s="321">
        <v>40</v>
      </c>
      <c r="E111" s="304">
        <v>0</v>
      </c>
      <c r="F111" s="306">
        <f t="shared" si="18"/>
        <v>0</v>
      </c>
      <c r="G111" s="322">
        <v>2</v>
      </c>
      <c r="H111" s="303">
        <f>3*60</f>
        <v>180</v>
      </c>
      <c r="I111" s="312">
        <f t="shared" si="19"/>
        <v>7200</v>
      </c>
      <c r="J111" s="496">
        <f t="shared" si="8"/>
        <v>7200</v>
      </c>
    </row>
    <row r="112" spans="1:10" s="167" customFormat="1" ht="15" x14ac:dyDescent="0.2">
      <c r="A112" s="337" t="s">
        <v>72</v>
      </c>
      <c r="B112" s="291">
        <v>262</v>
      </c>
      <c r="C112" s="291" t="s">
        <v>45</v>
      </c>
      <c r="D112" s="321">
        <v>40</v>
      </c>
      <c r="E112" s="304">
        <v>0</v>
      </c>
      <c r="F112" s="306">
        <f t="shared" si="18"/>
        <v>0</v>
      </c>
      <c r="G112" s="322">
        <v>2</v>
      </c>
      <c r="H112" s="303">
        <f>3*3</f>
        <v>9</v>
      </c>
      <c r="I112" s="312">
        <f t="shared" si="19"/>
        <v>360</v>
      </c>
      <c r="J112" s="496">
        <f t="shared" si="8"/>
        <v>360</v>
      </c>
    </row>
    <row r="113" spans="1:10" s="167" customFormat="1" ht="15.75" thickBot="1" x14ac:dyDescent="0.25">
      <c r="A113" s="345" t="s">
        <v>41</v>
      </c>
      <c r="B113" s="347">
        <v>262</v>
      </c>
      <c r="C113" s="347" t="s">
        <v>61</v>
      </c>
      <c r="D113" s="409">
        <v>35</v>
      </c>
      <c r="E113" s="445"/>
      <c r="F113" s="377">
        <f t="shared" si="18"/>
        <v>0</v>
      </c>
      <c r="G113" s="470">
        <v>2</v>
      </c>
      <c r="H113" s="448">
        <f>3*12</f>
        <v>36</v>
      </c>
      <c r="I113" s="373">
        <f t="shared" si="19"/>
        <v>1260</v>
      </c>
      <c r="J113" s="497">
        <f t="shared" si="8"/>
        <v>1260</v>
      </c>
    </row>
    <row r="114" spans="1:10" ht="38.25" customHeight="1" thickBot="1" x14ac:dyDescent="0.25">
      <c r="A114" s="906" t="str">
        <f>MR!D22</f>
        <v>1.4.2 Ejecución y Monitoreo de las actividades del Proyecto REDD+ en el PNSL, bajo el estándar CCB y VCS,</v>
      </c>
      <c r="B114" s="907"/>
      <c r="C114" s="907"/>
      <c r="D114" s="410"/>
      <c r="E114" s="440"/>
      <c r="F114" s="357">
        <f>SUM(F115:F118)</f>
        <v>0</v>
      </c>
      <c r="G114" s="471"/>
      <c r="H114" s="518"/>
      <c r="I114" s="351">
        <f>SUM(I115:I118)</f>
        <v>32157</v>
      </c>
      <c r="J114" s="483">
        <f t="shared" ref="J114:J153" si="20">F114+I114</f>
        <v>32157</v>
      </c>
    </row>
    <row r="115" spans="1:10" s="167" customFormat="1" ht="15" x14ac:dyDescent="0.2">
      <c r="A115" s="352" t="s">
        <v>34</v>
      </c>
      <c r="B115" s="353">
        <v>11</v>
      </c>
      <c r="C115" s="353" t="s">
        <v>94</v>
      </c>
      <c r="D115" s="411">
        <v>715</v>
      </c>
      <c r="E115" s="442">
        <v>0</v>
      </c>
      <c r="F115" s="354">
        <f t="shared" ref="F115:F118" si="21">E115*D115</f>
        <v>0</v>
      </c>
      <c r="G115" s="472">
        <v>2</v>
      </c>
      <c r="H115" s="442">
        <v>15</v>
      </c>
      <c r="I115" s="372">
        <f t="shared" ref="I115:I118" si="22">D115*H115</f>
        <v>10725</v>
      </c>
      <c r="J115" s="480">
        <f t="shared" si="20"/>
        <v>10725</v>
      </c>
    </row>
    <row r="116" spans="1:10" s="167" customFormat="1" ht="15" x14ac:dyDescent="0.2">
      <c r="A116" s="337" t="s">
        <v>338</v>
      </c>
      <c r="B116" s="318" t="s">
        <v>192</v>
      </c>
      <c r="C116" s="291" t="s">
        <v>94</v>
      </c>
      <c r="D116" s="325">
        <v>422</v>
      </c>
      <c r="E116" s="303">
        <v>0</v>
      </c>
      <c r="F116" s="306">
        <f t="shared" si="21"/>
        <v>0</v>
      </c>
      <c r="G116" s="322">
        <v>2</v>
      </c>
      <c r="H116" s="303">
        <v>21</v>
      </c>
      <c r="I116" s="312">
        <f t="shared" si="22"/>
        <v>8862</v>
      </c>
      <c r="J116" s="496">
        <f t="shared" si="20"/>
        <v>8862</v>
      </c>
    </row>
    <row r="117" spans="1:10" s="167" customFormat="1" ht="15" x14ac:dyDescent="0.2">
      <c r="A117" s="338" t="s">
        <v>182</v>
      </c>
      <c r="B117" s="319">
        <v>11</v>
      </c>
      <c r="C117" s="331" t="s">
        <v>94</v>
      </c>
      <c r="D117" s="323">
        <v>557</v>
      </c>
      <c r="E117" s="303">
        <v>0</v>
      </c>
      <c r="F117" s="306">
        <f t="shared" si="21"/>
        <v>0</v>
      </c>
      <c r="G117" s="322">
        <v>2</v>
      </c>
      <c r="H117" s="303">
        <v>15</v>
      </c>
      <c r="I117" s="312">
        <f t="shared" si="22"/>
        <v>8355</v>
      </c>
      <c r="J117" s="496">
        <f t="shared" si="20"/>
        <v>8355</v>
      </c>
    </row>
    <row r="118" spans="1:10" s="167" customFormat="1" ht="15.75" thickBot="1" x14ac:dyDescent="0.25">
      <c r="A118" s="365" t="s">
        <v>361</v>
      </c>
      <c r="B118" s="366">
        <v>11</v>
      </c>
      <c r="C118" s="379" t="s">
        <v>94</v>
      </c>
      <c r="D118" s="417">
        <v>281</v>
      </c>
      <c r="E118" s="448">
        <v>0</v>
      </c>
      <c r="F118" s="377">
        <f t="shared" si="21"/>
        <v>0</v>
      </c>
      <c r="G118" s="470">
        <v>2</v>
      </c>
      <c r="H118" s="448">
        <v>15</v>
      </c>
      <c r="I118" s="373">
        <f t="shared" si="22"/>
        <v>4215</v>
      </c>
      <c r="J118" s="497">
        <f t="shared" si="20"/>
        <v>4215</v>
      </c>
    </row>
    <row r="119" spans="1:10" ht="22.5" customHeight="1" thickBot="1" x14ac:dyDescent="0.25">
      <c r="A119" s="585" t="s">
        <v>95</v>
      </c>
      <c r="B119" s="585"/>
      <c r="C119" s="585"/>
      <c r="D119" s="586"/>
      <c r="E119" s="587"/>
      <c r="F119" s="588">
        <f>F121+F137+F140+F143+F149+F157+F170+F176+F208+F214</f>
        <v>1963859</v>
      </c>
      <c r="G119" s="589"/>
      <c r="H119" s="590"/>
      <c r="I119" s="591">
        <f>I121+I137+I140+I143+I149+I157+I170+I176+I208+I214</f>
        <v>1030288</v>
      </c>
      <c r="J119" s="592">
        <f t="shared" si="20"/>
        <v>2994147</v>
      </c>
    </row>
    <row r="120" spans="1:10" ht="45.75" customHeight="1" thickBot="1" x14ac:dyDescent="0.25">
      <c r="A120" s="929" t="s">
        <v>228</v>
      </c>
      <c r="B120" s="930"/>
      <c r="C120" s="930"/>
      <c r="D120" s="418"/>
      <c r="E120" s="449"/>
      <c r="F120" s="380"/>
      <c r="G120" s="475"/>
      <c r="H120" s="527"/>
      <c r="I120" s="528"/>
      <c r="J120" s="498"/>
    </row>
    <row r="121" spans="1:10" ht="38.1" customHeight="1" thickBot="1" x14ac:dyDescent="0.25">
      <c r="A121" s="904" t="str">
        <f>MR!D33</f>
        <v>1.5.1Coordinación con el CONAP, BEOS y DIPRONA para mantener la presencia del personal interinstitucional en los COI (Arroyo Lacandón y Arroyo Yaxchilán) y PC (Porvenir, Guayacán, Pocitos) del PNSL.</v>
      </c>
      <c r="B121" s="905"/>
      <c r="C121" s="905"/>
      <c r="D121" s="410"/>
      <c r="E121" s="440"/>
      <c r="F121" s="357">
        <f>SUM(F122:F136)</f>
        <v>0</v>
      </c>
      <c r="G121" s="471"/>
      <c r="H121" s="526"/>
      <c r="I121" s="381">
        <f>SUM(I122:I136)</f>
        <v>97224</v>
      </c>
      <c r="J121" s="499">
        <f t="shared" si="20"/>
        <v>97224</v>
      </c>
    </row>
    <row r="122" spans="1:10" ht="15" x14ac:dyDescent="0.2">
      <c r="A122" s="352" t="s">
        <v>34</v>
      </c>
      <c r="B122" s="353">
        <v>11</v>
      </c>
      <c r="C122" s="353" t="s">
        <v>94</v>
      </c>
      <c r="D122" s="411">
        <v>715</v>
      </c>
      <c r="E122" s="441">
        <v>0</v>
      </c>
      <c r="F122" s="354">
        <f t="shared" ref="F122:F136" si="23">E122*D122</f>
        <v>0</v>
      </c>
      <c r="G122" s="472">
        <v>2</v>
      </c>
      <c r="H122" s="442">
        <f>2*12</f>
        <v>24</v>
      </c>
      <c r="I122" s="529">
        <f t="shared" ref="I122:I136" si="24">D122*H122</f>
        <v>17160</v>
      </c>
      <c r="J122" s="480">
        <f t="shared" si="20"/>
        <v>17160</v>
      </c>
    </row>
    <row r="123" spans="1:10" ht="15" x14ac:dyDescent="0.2">
      <c r="A123" s="337" t="s">
        <v>361</v>
      </c>
      <c r="B123" s="318" t="s">
        <v>170</v>
      </c>
      <c r="C123" s="291" t="s">
        <v>94</v>
      </c>
      <c r="D123" s="325">
        <v>281</v>
      </c>
      <c r="E123" s="300">
        <v>0</v>
      </c>
      <c r="F123" s="306">
        <f t="shared" si="23"/>
        <v>0</v>
      </c>
      <c r="G123" s="322">
        <v>2</v>
      </c>
      <c r="H123" s="303">
        <f>6*12</f>
        <v>72</v>
      </c>
      <c r="I123" s="315">
        <f t="shared" si="24"/>
        <v>20232</v>
      </c>
      <c r="J123" s="496">
        <f t="shared" si="20"/>
        <v>20232</v>
      </c>
    </row>
    <row r="124" spans="1:10" ht="15" x14ac:dyDescent="0.2">
      <c r="A124" s="337" t="s">
        <v>278</v>
      </c>
      <c r="B124" s="318" t="s">
        <v>171</v>
      </c>
      <c r="C124" s="291" t="s">
        <v>128</v>
      </c>
      <c r="D124" s="325">
        <v>202</v>
      </c>
      <c r="E124" s="300"/>
      <c r="F124" s="306">
        <f t="shared" si="23"/>
        <v>0</v>
      </c>
      <c r="G124" s="322"/>
      <c r="H124" s="303">
        <v>36</v>
      </c>
      <c r="I124" s="315">
        <f t="shared" si="24"/>
        <v>7272</v>
      </c>
      <c r="J124" s="496">
        <f t="shared" si="20"/>
        <v>7272</v>
      </c>
    </row>
    <row r="125" spans="1:10" ht="15" x14ac:dyDescent="0.2">
      <c r="A125" s="339" t="s">
        <v>41</v>
      </c>
      <c r="B125" s="319">
        <v>262</v>
      </c>
      <c r="C125" s="319" t="s">
        <v>42</v>
      </c>
      <c r="D125" s="323">
        <v>25</v>
      </c>
      <c r="E125" s="300">
        <v>0</v>
      </c>
      <c r="F125" s="306">
        <f t="shared" si="23"/>
        <v>0</v>
      </c>
      <c r="G125" s="322">
        <v>2</v>
      </c>
      <c r="H125" s="303">
        <f>30*12</f>
        <v>360</v>
      </c>
      <c r="I125" s="315">
        <f t="shared" si="24"/>
        <v>9000</v>
      </c>
      <c r="J125" s="496">
        <f t="shared" si="20"/>
        <v>9000</v>
      </c>
    </row>
    <row r="126" spans="1:10" ht="15" x14ac:dyDescent="0.2">
      <c r="A126" s="339" t="s">
        <v>279</v>
      </c>
      <c r="B126" s="319">
        <v>211</v>
      </c>
      <c r="C126" s="319" t="s">
        <v>67</v>
      </c>
      <c r="D126" s="323">
        <v>90</v>
      </c>
      <c r="E126" s="300"/>
      <c r="F126" s="306">
        <f t="shared" si="23"/>
        <v>0</v>
      </c>
      <c r="G126" s="322"/>
      <c r="H126" s="303">
        <f>10*6</f>
        <v>60</v>
      </c>
      <c r="I126" s="315">
        <f t="shared" si="24"/>
        <v>5400</v>
      </c>
      <c r="J126" s="496">
        <f t="shared" si="20"/>
        <v>5400</v>
      </c>
    </row>
    <row r="127" spans="1:10" ht="15" x14ac:dyDescent="0.2">
      <c r="A127" s="339" t="s">
        <v>281</v>
      </c>
      <c r="B127" s="319">
        <v>211</v>
      </c>
      <c r="C127" s="319" t="s">
        <v>67</v>
      </c>
      <c r="D127" s="323">
        <v>30</v>
      </c>
      <c r="E127" s="300"/>
      <c r="F127" s="306">
        <f t="shared" si="23"/>
        <v>0</v>
      </c>
      <c r="G127" s="322"/>
      <c r="H127" s="303">
        <f>10*6</f>
        <v>60</v>
      </c>
      <c r="I127" s="315">
        <f t="shared" si="24"/>
        <v>1800</v>
      </c>
      <c r="J127" s="496">
        <f t="shared" si="20"/>
        <v>1800</v>
      </c>
    </row>
    <row r="128" spans="1:10" ht="15" x14ac:dyDescent="0.2">
      <c r="A128" s="337" t="s">
        <v>65</v>
      </c>
      <c r="B128" s="291">
        <v>241</v>
      </c>
      <c r="C128" s="291" t="s">
        <v>49</v>
      </c>
      <c r="D128" s="321">
        <v>50</v>
      </c>
      <c r="E128" s="300"/>
      <c r="F128" s="306">
        <f t="shared" si="23"/>
        <v>0</v>
      </c>
      <c r="G128" s="322"/>
      <c r="H128" s="303">
        <v>1</v>
      </c>
      <c r="I128" s="315">
        <f t="shared" si="24"/>
        <v>50</v>
      </c>
      <c r="J128" s="496">
        <f t="shared" si="20"/>
        <v>50</v>
      </c>
    </row>
    <row r="129" spans="1:10" ht="15" x14ac:dyDescent="0.2">
      <c r="A129" s="337" t="s">
        <v>74</v>
      </c>
      <c r="B129" s="291">
        <v>267</v>
      </c>
      <c r="C129" s="291" t="s">
        <v>67</v>
      </c>
      <c r="D129" s="321">
        <v>450</v>
      </c>
      <c r="E129" s="300"/>
      <c r="F129" s="306">
        <f t="shared" si="23"/>
        <v>0</v>
      </c>
      <c r="G129" s="322"/>
      <c r="H129" s="303">
        <v>2</v>
      </c>
      <c r="I129" s="315">
        <f t="shared" si="24"/>
        <v>900</v>
      </c>
      <c r="J129" s="496">
        <f t="shared" si="20"/>
        <v>900</v>
      </c>
    </row>
    <row r="130" spans="1:10" ht="15" x14ac:dyDescent="0.2">
      <c r="A130" s="337" t="s">
        <v>205</v>
      </c>
      <c r="B130" s="291">
        <v>133</v>
      </c>
      <c r="C130" s="291" t="s">
        <v>67</v>
      </c>
      <c r="D130" s="321">
        <v>1800</v>
      </c>
      <c r="E130" s="300"/>
      <c r="F130" s="306">
        <f t="shared" si="23"/>
        <v>0</v>
      </c>
      <c r="G130" s="322"/>
      <c r="H130" s="303">
        <v>6</v>
      </c>
      <c r="I130" s="315">
        <f t="shared" si="24"/>
        <v>10800</v>
      </c>
      <c r="J130" s="496">
        <f t="shared" si="20"/>
        <v>10800</v>
      </c>
    </row>
    <row r="131" spans="1:10" ht="15" x14ac:dyDescent="0.2">
      <c r="A131" s="337" t="s">
        <v>280</v>
      </c>
      <c r="B131" s="291">
        <v>133</v>
      </c>
      <c r="C131" s="291" t="s">
        <v>67</v>
      </c>
      <c r="D131" s="321">
        <v>300</v>
      </c>
      <c r="E131" s="300"/>
      <c r="F131" s="306">
        <f t="shared" si="23"/>
        <v>0</v>
      </c>
      <c r="G131" s="322"/>
      <c r="H131" s="303">
        <v>6</v>
      </c>
      <c r="I131" s="315">
        <f t="shared" si="24"/>
        <v>1800</v>
      </c>
      <c r="J131" s="496">
        <f t="shared" si="20"/>
        <v>1800</v>
      </c>
    </row>
    <row r="132" spans="1:10" ht="15" x14ac:dyDescent="0.2">
      <c r="A132" s="337" t="s">
        <v>279</v>
      </c>
      <c r="B132" s="291">
        <v>133</v>
      </c>
      <c r="C132" s="291" t="s">
        <v>67</v>
      </c>
      <c r="D132" s="321">
        <v>180</v>
      </c>
      <c r="E132" s="300"/>
      <c r="F132" s="306">
        <f t="shared" si="23"/>
        <v>0</v>
      </c>
      <c r="G132" s="322"/>
      <c r="H132" s="303">
        <f>2*6</f>
        <v>12</v>
      </c>
      <c r="I132" s="315">
        <f t="shared" si="24"/>
        <v>2160</v>
      </c>
      <c r="J132" s="496">
        <f t="shared" si="20"/>
        <v>2160</v>
      </c>
    </row>
    <row r="133" spans="1:10" ht="15" x14ac:dyDescent="0.2">
      <c r="A133" s="337" t="s">
        <v>282</v>
      </c>
      <c r="B133" s="291">
        <v>133</v>
      </c>
      <c r="C133" s="291" t="s">
        <v>67</v>
      </c>
      <c r="D133" s="321">
        <v>250</v>
      </c>
      <c r="E133" s="300"/>
      <c r="F133" s="306">
        <f t="shared" si="23"/>
        <v>0</v>
      </c>
      <c r="G133" s="322"/>
      <c r="H133" s="303">
        <v>6</v>
      </c>
      <c r="I133" s="315">
        <f t="shared" si="24"/>
        <v>1500</v>
      </c>
      <c r="J133" s="496">
        <f t="shared" si="20"/>
        <v>1500</v>
      </c>
    </row>
    <row r="134" spans="1:10" s="54" customFormat="1" ht="15" x14ac:dyDescent="0.2">
      <c r="A134" s="337" t="s">
        <v>283</v>
      </c>
      <c r="B134" s="291">
        <v>165</v>
      </c>
      <c r="C134" s="291" t="s">
        <v>67</v>
      </c>
      <c r="D134" s="321">
        <f>(2600+2600+600+600+550)+5000</f>
        <v>11950</v>
      </c>
      <c r="E134" s="300"/>
      <c r="F134" s="306">
        <f t="shared" si="23"/>
        <v>0</v>
      </c>
      <c r="G134" s="322"/>
      <c r="H134" s="303">
        <v>1</v>
      </c>
      <c r="I134" s="315">
        <f t="shared" si="24"/>
        <v>11950</v>
      </c>
      <c r="J134" s="496">
        <f t="shared" si="20"/>
        <v>11950</v>
      </c>
    </row>
    <row r="135" spans="1:10" s="54" customFormat="1" ht="15" x14ac:dyDescent="0.2">
      <c r="A135" s="337" t="s">
        <v>284</v>
      </c>
      <c r="B135" s="291">
        <v>253</v>
      </c>
      <c r="C135" s="291" t="s">
        <v>67</v>
      </c>
      <c r="D135" s="321">
        <v>1200</v>
      </c>
      <c r="E135" s="300"/>
      <c r="F135" s="306">
        <f t="shared" si="23"/>
        <v>0</v>
      </c>
      <c r="G135" s="322"/>
      <c r="H135" s="303">
        <v>4</v>
      </c>
      <c r="I135" s="315">
        <f t="shared" si="24"/>
        <v>4800</v>
      </c>
      <c r="J135" s="496">
        <f t="shared" si="20"/>
        <v>4800</v>
      </c>
    </row>
    <row r="136" spans="1:10" s="55" customFormat="1" ht="15.75" thickBot="1" x14ac:dyDescent="0.25">
      <c r="A136" s="345" t="s">
        <v>271</v>
      </c>
      <c r="B136" s="347">
        <v>113</v>
      </c>
      <c r="C136" s="347" t="s">
        <v>67</v>
      </c>
      <c r="D136" s="409">
        <v>200</v>
      </c>
      <c r="E136" s="439"/>
      <c r="F136" s="377">
        <f t="shared" si="23"/>
        <v>0</v>
      </c>
      <c r="G136" s="470"/>
      <c r="H136" s="448">
        <v>12</v>
      </c>
      <c r="I136" s="530">
        <f t="shared" si="24"/>
        <v>2400</v>
      </c>
      <c r="J136" s="497">
        <f t="shared" si="20"/>
        <v>2400</v>
      </c>
    </row>
    <row r="137" spans="1:10" ht="39" customHeight="1" thickBot="1" x14ac:dyDescent="0.25">
      <c r="A137" s="904" t="str">
        <f>MR!D34</f>
        <v>1.6.1  Presentar denuncias ante el Ministerio Público de todos los actos ilícitos detectados dentro del área protegida y su área de influencia.</v>
      </c>
      <c r="B137" s="905"/>
      <c r="C137" s="905"/>
      <c r="D137" s="410"/>
      <c r="E137" s="440"/>
      <c r="F137" s="357">
        <f>SUM(F138:F139)</f>
        <v>0</v>
      </c>
      <c r="G137" s="471"/>
      <c r="H137" s="526"/>
      <c r="I137" s="381">
        <f>SUM(I138:I139)</f>
        <v>22332</v>
      </c>
      <c r="J137" s="483">
        <f t="shared" si="20"/>
        <v>22332</v>
      </c>
    </row>
    <row r="138" spans="1:10" ht="15" x14ac:dyDescent="0.2">
      <c r="A138" s="352" t="s">
        <v>361</v>
      </c>
      <c r="B138" s="362" t="s">
        <v>170</v>
      </c>
      <c r="C138" s="353" t="s">
        <v>94</v>
      </c>
      <c r="D138" s="411">
        <v>281</v>
      </c>
      <c r="E138" s="441">
        <v>0</v>
      </c>
      <c r="F138" s="354">
        <f t="shared" ref="F138:F139" si="25">E138*D138</f>
        <v>0</v>
      </c>
      <c r="G138" s="472">
        <v>2</v>
      </c>
      <c r="H138" s="442">
        <f>6*12</f>
        <v>72</v>
      </c>
      <c r="I138" s="529">
        <f t="shared" ref="I138:I139" si="26">D138*H138</f>
        <v>20232</v>
      </c>
      <c r="J138" s="480">
        <f t="shared" si="20"/>
        <v>20232</v>
      </c>
    </row>
    <row r="139" spans="1:10" ht="15.75" thickBot="1" x14ac:dyDescent="0.25">
      <c r="A139" s="367" t="s">
        <v>41</v>
      </c>
      <c r="B139" s="368">
        <v>262</v>
      </c>
      <c r="C139" s="368" t="s">
        <v>61</v>
      </c>
      <c r="D139" s="413">
        <v>35</v>
      </c>
      <c r="E139" s="445">
        <v>0</v>
      </c>
      <c r="F139" s="384">
        <f t="shared" si="25"/>
        <v>0</v>
      </c>
      <c r="G139" s="470">
        <v>2</v>
      </c>
      <c r="H139" s="445">
        <f>5*12</f>
        <v>60</v>
      </c>
      <c r="I139" s="523">
        <f t="shared" si="26"/>
        <v>2100</v>
      </c>
      <c r="J139" s="500">
        <f t="shared" si="20"/>
        <v>2100</v>
      </c>
    </row>
    <row r="140" spans="1:10" ht="26.25" customHeight="1" thickBot="1" x14ac:dyDescent="0.25">
      <c r="A140" s="904" t="str">
        <f>MR!D35</f>
        <v>1.6.2 Seguimiento a las ordenes de desalojo para las invasiones La Revancha y San Francisco.</v>
      </c>
      <c r="B140" s="905"/>
      <c r="C140" s="905"/>
      <c r="D140" s="410"/>
      <c r="E140" s="440"/>
      <c r="F140" s="357">
        <f>SUM(F141:F142)</f>
        <v>0</v>
      </c>
      <c r="G140" s="471"/>
      <c r="H140" s="526"/>
      <c r="I140" s="381">
        <f>SUM(I141:I142)</f>
        <v>21060</v>
      </c>
      <c r="J140" s="483">
        <f t="shared" si="20"/>
        <v>21060</v>
      </c>
    </row>
    <row r="141" spans="1:10" ht="15" x14ac:dyDescent="0.2">
      <c r="A141" s="352" t="s">
        <v>361</v>
      </c>
      <c r="B141" s="362" t="s">
        <v>170</v>
      </c>
      <c r="C141" s="353" t="s">
        <v>94</v>
      </c>
      <c r="D141" s="411">
        <v>281</v>
      </c>
      <c r="E141" s="441">
        <v>0</v>
      </c>
      <c r="F141" s="354">
        <f t="shared" ref="F141:F142" si="27">E141*D141</f>
        <v>0</v>
      </c>
      <c r="G141" s="472">
        <v>2</v>
      </c>
      <c r="H141" s="442">
        <v>60</v>
      </c>
      <c r="I141" s="529">
        <f t="shared" ref="I141:I142" si="28">D141*H141</f>
        <v>16860</v>
      </c>
      <c r="J141" s="480">
        <f t="shared" si="20"/>
        <v>16860</v>
      </c>
    </row>
    <row r="142" spans="1:10" ht="15.75" thickBot="1" x14ac:dyDescent="0.25">
      <c r="A142" s="367" t="s">
        <v>41</v>
      </c>
      <c r="B142" s="368">
        <v>262</v>
      </c>
      <c r="C142" s="368" t="s">
        <v>61</v>
      </c>
      <c r="D142" s="413">
        <v>35</v>
      </c>
      <c r="E142" s="445">
        <v>0</v>
      </c>
      <c r="F142" s="384">
        <f t="shared" si="27"/>
        <v>0</v>
      </c>
      <c r="G142" s="470">
        <v>2</v>
      </c>
      <c r="H142" s="445">
        <f>10*12</f>
        <v>120</v>
      </c>
      <c r="I142" s="523">
        <f t="shared" si="28"/>
        <v>4200</v>
      </c>
      <c r="J142" s="500">
        <f t="shared" si="20"/>
        <v>4200</v>
      </c>
    </row>
    <row r="143" spans="1:10" s="55" customFormat="1" ht="30" customHeight="1" thickBot="1" x14ac:dyDescent="0.25">
      <c r="A143" s="904" t="str">
        <f>MR!D36</f>
        <v xml:space="preserve">1.6.3 Seguimiento a talleres dirigido a personal técnico, Ejército, Diprona y guardarecursos sobre legislación ambiental y procedimiento para el manejo y resguardo de los bienes decomisados (cadena de custodia). </v>
      </c>
      <c r="B143" s="905"/>
      <c r="C143" s="905"/>
      <c r="D143" s="410"/>
      <c r="E143" s="440"/>
      <c r="F143" s="357">
        <f>SUM(F144:F148)</f>
        <v>0</v>
      </c>
      <c r="G143" s="471"/>
      <c r="H143" s="526"/>
      <c r="I143" s="381">
        <f>SUM(I144:I148)</f>
        <v>2836</v>
      </c>
      <c r="J143" s="483">
        <f t="shared" si="20"/>
        <v>2836</v>
      </c>
    </row>
    <row r="144" spans="1:10" ht="15" x14ac:dyDescent="0.2">
      <c r="A144" s="352" t="s">
        <v>361</v>
      </c>
      <c r="B144" s="362" t="s">
        <v>170</v>
      </c>
      <c r="C144" s="353" t="s">
        <v>94</v>
      </c>
      <c r="D144" s="411">
        <v>281</v>
      </c>
      <c r="E144" s="441">
        <v>0</v>
      </c>
      <c r="F144" s="354">
        <f t="shared" ref="F144:F148" si="29">E144*D144</f>
        <v>0</v>
      </c>
      <c r="G144" s="472">
        <v>2</v>
      </c>
      <c r="H144" s="442">
        <v>6</v>
      </c>
      <c r="I144" s="529">
        <f t="shared" ref="I144:I148" si="30">D144*H144</f>
        <v>1686</v>
      </c>
      <c r="J144" s="480">
        <f t="shared" si="20"/>
        <v>1686</v>
      </c>
    </row>
    <row r="145" spans="1:12" ht="15" x14ac:dyDescent="0.2">
      <c r="A145" s="337" t="s">
        <v>163</v>
      </c>
      <c r="B145" s="318" t="s">
        <v>170</v>
      </c>
      <c r="C145" s="291" t="s">
        <v>28</v>
      </c>
      <c r="D145" s="325">
        <v>50</v>
      </c>
      <c r="E145" s="304">
        <v>0</v>
      </c>
      <c r="F145" s="305">
        <f t="shared" si="29"/>
        <v>0</v>
      </c>
      <c r="G145" s="322">
        <v>2</v>
      </c>
      <c r="H145" s="304">
        <v>1</v>
      </c>
      <c r="I145" s="522">
        <f t="shared" si="30"/>
        <v>50</v>
      </c>
      <c r="J145" s="501">
        <f t="shared" si="20"/>
        <v>50</v>
      </c>
    </row>
    <row r="146" spans="1:12" ht="15" x14ac:dyDescent="0.2">
      <c r="A146" s="337" t="s">
        <v>74</v>
      </c>
      <c r="B146" s="318" t="s">
        <v>171</v>
      </c>
      <c r="C146" s="291" t="s">
        <v>44</v>
      </c>
      <c r="D146" s="325">
        <v>450</v>
      </c>
      <c r="E146" s="304">
        <v>0</v>
      </c>
      <c r="F146" s="305">
        <f t="shared" si="29"/>
        <v>0</v>
      </c>
      <c r="G146" s="322">
        <v>2</v>
      </c>
      <c r="H146" s="304">
        <v>1</v>
      </c>
      <c r="I146" s="522">
        <f t="shared" si="30"/>
        <v>450</v>
      </c>
      <c r="J146" s="501">
        <f t="shared" si="20"/>
        <v>450</v>
      </c>
    </row>
    <row r="147" spans="1:12" ht="15" x14ac:dyDescent="0.2">
      <c r="A147" s="343" t="s">
        <v>196</v>
      </c>
      <c r="B147" s="342"/>
      <c r="C147" s="342" t="s">
        <v>44</v>
      </c>
      <c r="D147" s="408">
        <v>10</v>
      </c>
      <c r="E147" s="304">
        <v>0</v>
      </c>
      <c r="F147" s="305">
        <f t="shared" si="29"/>
        <v>0</v>
      </c>
      <c r="G147" s="322">
        <v>2</v>
      </c>
      <c r="H147" s="304">
        <v>5</v>
      </c>
      <c r="I147" s="522">
        <f t="shared" si="30"/>
        <v>50</v>
      </c>
      <c r="J147" s="501">
        <f t="shared" si="20"/>
        <v>50</v>
      </c>
    </row>
    <row r="148" spans="1:12" ht="15.75" thickBot="1" x14ac:dyDescent="0.25">
      <c r="A148" s="367" t="s">
        <v>162</v>
      </c>
      <c r="B148" s="366">
        <v>211</v>
      </c>
      <c r="C148" s="366" t="s">
        <v>44</v>
      </c>
      <c r="D148" s="412">
        <v>15</v>
      </c>
      <c r="E148" s="445">
        <v>0</v>
      </c>
      <c r="F148" s="377">
        <f t="shared" si="29"/>
        <v>0</v>
      </c>
      <c r="G148" s="470">
        <v>2</v>
      </c>
      <c r="H148" s="448">
        <v>40</v>
      </c>
      <c r="I148" s="373">
        <f t="shared" si="30"/>
        <v>600</v>
      </c>
      <c r="J148" s="500">
        <f t="shared" si="20"/>
        <v>600</v>
      </c>
    </row>
    <row r="149" spans="1:12" ht="26.25" customHeight="1" thickBot="1" x14ac:dyDescent="0.25">
      <c r="A149" s="904" t="str">
        <f>MR!D37</f>
        <v>1.7.1 Actualización e Implementación de la Estrategia de Control y Vigilancia para el PNSL</v>
      </c>
      <c r="B149" s="905"/>
      <c r="C149" s="905"/>
      <c r="D149" s="410"/>
      <c r="E149" s="440"/>
      <c r="F149" s="357">
        <f>SUM(F150:F156)</f>
        <v>0</v>
      </c>
      <c r="G149" s="471"/>
      <c r="H149" s="526"/>
      <c r="I149" s="381">
        <f>SUM(I150:I156)</f>
        <v>8239</v>
      </c>
      <c r="J149" s="483">
        <f t="shared" si="20"/>
        <v>8239</v>
      </c>
    </row>
    <row r="150" spans="1:12" ht="15" x14ac:dyDescent="0.2">
      <c r="A150" s="352" t="s">
        <v>361</v>
      </c>
      <c r="B150" s="353">
        <v>11</v>
      </c>
      <c r="C150" s="353" t="s">
        <v>94</v>
      </c>
      <c r="D150" s="407">
        <v>281</v>
      </c>
      <c r="E150" s="446">
        <v>0</v>
      </c>
      <c r="F150" s="385">
        <f t="shared" ref="F150:F156" si="31">E150*D150</f>
        <v>0</v>
      </c>
      <c r="G150" s="472">
        <v>2</v>
      </c>
      <c r="H150" s="446">
        <v>5</v>
      </c>
      <c r="I150" s="521">
        <f t="shared" ref="I150:I156" si="32">D150*H150</f>
        <v>1405</v>
      </c>
      <c r="J150" s="502">
        <f t="shared" si="20"/>
        <v>1405</v>
      </c>
    </row>
    <row r="151" spans="1:12" ht="15" x14ac:dyDescent="0.2">
      <c r="A151" s="337" t="s">
        <v>34</v>
      </c>
      <c r="B151" s="291">
        <v>11</v>
      </c>
      <c r="C151" s="291" t="s">
        <v>128</v>
      </c>
      <c r="D151" s="321">
        <v>715</v>
      </c>
      <c r="E151" s="304">
        <v>0</v>
      </c>
      <c r="F151" s="305">
        <f t="shared" si="31"/>
        <v>0</v>
      </c>
      <c r="G151" s="322">
        <v>2</v>
      </c>
      <c r="H151" s="304">
        <v>2</v>
      </c>
      <c r="I151" s="522">
        <f t="shared" si="32"/>
        <v>1430</v>
      </c>
      <c r="J151" s="501">
        <f t="shared" si="20"/>
        <v>1430</v>
      </c>
    </row>
    <row r="152" spans="1:12" ht="15" x14ac:dyDescent="0.2">
      <c r="A152" s="337" t="s">
        <v>188</v>
      </c>
      <c r="B152" s="291">
        <v>29</v>
      </c>
      <c r="C152" s="291" t="s">
        <v>128</v>
      </c>
      <c r="D152" s="321">
        <v>200</v>
      </c>
      <c r="E152" s="304">
        <v>0</v>
      </c>
      <c r="F152" s="305">
        <f t="shared" si="31"/>
        <v>0</v>
      </c>
      <c r="G152" s="322">
        <v>2</v>
      </c>
      <c r="H152" s="304">
        <v>2</v>
      </c>
      <c r="I152" s="522">
        <f t="shared" si="32"/>
        <v>400</v>
      </c>
      <c r="J152" s="501">
        <f t="shared" si="20"/>
        <v>400</v>
      </c>
    </row>
    <row r="153" spans="1:12" ht="15.75" x14ac:dyDescent="0.2">
      <c r="A153" s="337" t="s">
        <v>297</v>
      </c>
      <c r="B153" s="291">
        <v>211</v>
      </c>
      <c r="C153" s="291" t="s">
        <v>298</v>
      </c>
      <c r="D153" s="419">
        <v>80</v>
      </c>
      <c r="E153" s="327"/>
      <c r="F153" s="305">
        <f t="shared" si="31"/>
        <v>0</v>
      </c>
      <c r="G153" s="322">
        <v>2</v>
      </c>
      <c r="H153" s="304">
        <f>8*3</f>
        <v>24</v>
      </c>
      <c r="I153" s="522">
        <f t="shared" si="32"/>
        <v>1920</v>
      </c>
      <c r="J153" s="501">
        <f t="shared" si="20"/>
        <v>1920</v>
      </c>
    </row>
    <row r="154" spans="1:12" ht="15.75" x14ac:dyDescent="0.2">
      <c r="A154" s="337" t="s">
        <v>278</v>
      </c>
      <c r="B154" s="291">
        <v>29</v>
      </c>
      <c r="C154" s="291" t="s">
        <v>94</v>
      </c>
      <c r="D154" s="419">
        <v>201</v>
      </c>
      <c r="E154" s="327"/>
      <c r="F154" s="305">
        <f t="shared" si="31"/>
        <v>0</v>
      </c>
      <c r="G154" s="322">
        <v>2</v>
      </c>
      <c r="H154" s="304">
        <v>3</v>
      </c>
      <c r="I154" s="522">
        <f t="shared" si="32"/>
        <v>603</v>
      </c>
      <c r="J154" s="501">
        <f t="shared" ref="J154:J208" si="33">F154+I154</f>
        <v>603</v>
      </c>
    </row>
    <row r="155" spans="1:12" ht="15.75" x14ac:dyDescent="0.2">
      <c r="A155" s="337" t="s">
        <v>299</v>
      </c>
      <c r="B155" s="291">
        <v>11</v>
      </c>
      <c r="C155" s="291" t="s">
        <v>94</v>
      </c>
      <c r="D155" s="419">
        <v>560</v>
      </c>
      <c r="E155" s="327"/>
      <c r="F155" s="305">
        <f t="shared" si="31"/>
        <v>0</v>
      </c>
      <c r="G155" s="322">
        <v>2</v>
      </c>
      <c r="H155" s="304">
        <v>3</v>
      </c>
      <c r="I155" s="522">
        <f t="shared" si="32"/>
        <v>1680</v>
      </c>
      <c r="J155" s="501">
        <f t="shared" si="33"/>
        <v>1680</v>
      </c>
    </row>
    <row r="156" spans="1:12" ht="16.5" thickBot="1" x14ac:dyDescent="0.25">
      <c r="A156" s="345" t="s">
        <v>300</v>
      </c>
      <c r="B156" s="347">
        <v>29</v>
      </c>
      <c r="C156" s="347" t="s">
        <v>94</v>
      </c>
      <c r="D156" s="420">
        <v>267</v>
      </c>
      <c r="E156" s="451"/>
      <c r="F156" s="384">
        <f t="shared" si="31"/>
        <v>0</v>
      </c>
      <c r="G156" s="470">
        <v>2</v>
      </c>
      <c r="H156" s="445">
        <v>3</v>
      </c>
      <c r="I156" s="523">
        <f t="shared" si="32"/>
        <v>801</v>
      </c>
      <c r="J156" s="500">
        <f t="shared" si="33"/>
        <v>801</v>
      </c>
    </row>
    <row r="157" spans="1:12" ht="26.25" customHeight="1" thickBot="1" x14ac:dyDescent="0.25">
      <c r="A157" s="904" t="str">
        <f>MR!D38</f>
        <v>1.7.2  Se realizan por lo menos 36 patrullajes de largo alcance dentro de la ZI  en el PNSL de forma interinstitucional.</v>
      </c>
      <c r="B157" s="905"/>
      <c r="C157" s="905"/>
      <c r="D157" s="410"/>
      <c r="E157" s="440"/>
      <c r="F157" s="357">
        <f>SUM(F158:F169)</f>
        <v>58224</v>
      </c>
      <c r="G157" s="471"/>
      <c r="H157" s="526"/>
      <c r="I157" s="381">
        <f>SUM(I158:I169)</f>
        <v>126730</v>
      </c>
      <c r="J157" s="483">
        <f t="shared" si="33"/>
        <v>184954</v>
      </c>
    </row>
    <row r="158" spans="1:12" s="55" customFormat="1" ht="15" x14ac:dyDescent="0.2">
      <c r="A158" s="352" t="s">
        <v>361</v>
      </c>
      <c r="B158" s="362" t="s">
        <v>170</v>
      </c>
      <c r="C158" s="353" t="s">
        <v>94</v>
      </c>
      <c r="D158" s="411">
        <v>281</v>
      </c>
      <c r="E158" s="441">
        <v>0</v>
      </c>
      <c r="F158" s="363">
        <f t="shared" ref="F158:F169" si="34">E158*D158</f>
        <v>0</v>
      </c>
      <c r="G158" s="472">
        <v>2</v>
      </c>
      <c r="H158" s="441">
        <v>72</v>
      </c>
      <c r="I158" s="461">
        <f t="shared" ref="I158:I169" si="35">D158*H158</f>
        <v>20232</v>
      </c>
      <c r="J158" s="484">
        <f t="shared" si="33"/>
        <v>20232</v>
      </c>
      <c r="K158" s="84"/>
      <c r="L158" s="84"/>
    </row>
    <row r="159" spans="1:12" s="55" customFormat="1" ht="15" x14ac:dyDescent="0.2">
      <c r="A159" s="337" t="s">
        <v>188</v>
      </c>
      <c r="B159" s="318" t="s">
        <v>171</v>
      </c>
      <c r="C159" s="291" t="s">
        <v>128</v>
      </c>
      <c r="D159" s="325">
        <v>200</v>
      </c>
      <c r="E159" s="300">
        <v>0</v>
      </c>
      <c r="F159" s="302">
        <f t="shared" si="34"/>
        <v>0</v>
      </c>
      <c r="G159" s="322">
        <v>2</v>
      </c>
      <c r="H159" s="300">
        <f>12*5</f>
        <v>60</v>
      </c>
      <c r="I159" s="302">
        <f t="shared" si="35"/>
        <v>12000</v>
      </c>
      <c r="J159" s="486">
        <f t="shared" si="33"/>
        <v>12000</v>
      </c>
      <c r="K159" s="84"/>
      <c r="L159" s="84"/>
    </row>
    <row r="160" spans="1:12" s="55" customFormat="1" ht="15" x14ac:dyDescent="0.2">
      <c r="A160" s="337" t="s">
        <v>247</v>
      </c>
      <c r="B160" s="318" t="s">
        <v>171</v>
      </c>
      <c r="C160" s="291" t="s">
        <v>128</v>
      </c>
      <c r="D160" s="325">
        <v>200</v>
      </c>
      <c r="E160" s="300">
        <f>6*12</f>
        <v>72</v>
      </c>
      <c r="F160" s="302">
        <f t="shared" si="34"/>
        <v>14400</v>
      </c>
      <c r="G160" s="322">
        <v>1</v>
      </c>
      <c r="H160" s="300">
        <v>0</v>
      </c>
      <c r="I160" s="302">
        <f t="shared" si="35"/>
        <v>0</v>
      </c>
      <c r="J160" s="486">
        <f t="shared" si="33"/>
        <v>14400</v>
      </c>
      <c r="K160" s="84"/>
      <c r="L160" s="84"/>
    </row>
    <row r="161" spans="1:12" s="55" customFormat="1" ht="15" x14ac:dyDescent="0.2">
      <c r="A161" s="337" t="s">
        <v>190</v>
      </c>
      <c r="B161" s="291">
        <v>11</v>
      </c>
      <c r="C161" s="291" t="s">
        <v>94</v>
      </c>
      <c r="D161" s="321">
        <v>88</v>
      </c>
      <c r="E161" s="300">
        <f>4*12*6</f>
        <v>288</v>
      </c>
      <c r="F161" s="302">
        <f t="shared" si="34"/>
        <v>25344</v>
      </c>
      <c r="G161" s="322">
        <v>1</v>
      </c>
      <c r="H161" s="300">
        <v>0</v>
      </c>
      <c r="I161" s="302">
        <f t="shared" si="35"/>
        <v>0</v>
      </c>
      <c r="J161" s="486">
        <f t="shared" si="33"/>
        <v>25344</v>
      </c>
      <c r="K161" s="84"/>
      <c r="L161" s="84"/>
    </row>
    <row r="162" spans="1:12" s="55" customFormat="1" ht="15" x14ac:dyDescent="0.2">
      <c r="A162" s="337" t="s">
        <v>189</v>
      </c>
      <c r="B162" s="291">
        <v>11</v>
      </c>
      <c r="C162" s="291" t="s">
        <v>128</v>
      </c>
      <c r="D162" s="321">
        <v>101</v>
      </c>
      <c r="E162" s="300">
        <v>0</v>
      </c>
      <c r="F162" s="302">
        <f t="shared" si="34"/>
        <v>0</v>
      </c>
      <c r="G162" s="322">
        <v>2</v>
      </c>
      <c r="H162" s="300">
        <f>2*12*6</f>
        <v>144</v>
      </c>
      <c r="I162" s="302">
        <f t="shared" si="35"/>
        <v>14544</v>
      </c>
      <c r="J162" s="486">
        <f t="shared" si="33"/>
        <v>14544</v>
      </c>
      <c r="K162" s="84"/>
      <c r="L162" s="84"/>
    </row>
    <row r="163" spans="1:12" s="55" customFormat="1" ht="15" x14ac:dyDescent="0.2">
      <c r="A163" s="337" t="s">
        <v>189</v>
      </c>
      <c r="B163" s="291">
        <v>29</v>
      </c>
      <c r="C163" s="291" t="s">
        <v>128</v>
      </c>
      <c r="D163" s="321">
        <v>101</v>
      </c>
      <c r="E163" s="300">
        <v>0</v>
      </c>
      <c r="F163" s="302">
        <f t="shared" si="34"/>
        <v>0</v>
      </c>
      <c r="G163" s="322">
        <v>2</v>
      </c>
      <c r="H163" s="300">
        <f>2*6*12</f>
        <v>144</v>
      </c>
      <c r="I163" s="302">
        <f t="shared" si="35"/>
        <v>14544</v>
      </c>
      <c r="J163" s="486">
        <f t="shared" si="33"/>
        <v>14544</v>
      </c>
      <c r="K163" s="84"/>
      <c r="L163" s="84"/>
    </row>
    <row r="164" spans="1:12" ht="15" customHeight="1" x14ac:dyDescent="0.2">
      <c r="A164" s="337" t="s">
        <v>65</v>
      </c>
      <c r="B164" s="291">
        <v>241</v>
      </c>
      <c r="C164" s="291" t="s">
        <v>49</v>
      </c>
      <c r="D164" s="321">
        <v>50</v>
      </c>
      <c r="E164" s="300">
        <v>0</v>
      </c>
      <c r="F164" s="302">
        <f t="shared" si="34"/>
        <v>0</v>
      </c>
      <c r="G164" s="322">
        <v>2</v>
      </c>
      <c r="H164" s="300">
        <v>6</v>
      </c>
      <c r="I164" s="302">
        <f t="shared" si="35"/>
        <v>300</v>
      </c>
      <c r="J164" s="486">
        <f t="shared" si="33"/>
        <v>300</v>
      </c>
      <c r="K164" s="85"/>
      <c r="L164" s="85"/>
    </row>
    <row r="165" spans="1:12" ht="17.100000000000001" customHeight="1" x14ac:dyDescent="0.2">
      <c r="A165" s="337" t="s">
        <v>43</v>
      </c>
      <c r="B165" s="291">
        <v>262</v>
      </c>
      <c r="C165" s="291" t="s">
        <v>61</v>
      </c>
      <c r="D165" s="321">
        <v>30</v>
      </c>
      <c r="E165" s="300">
        <v>0</v>
      </c>
      <c r="F165" s="302">
        <f t="shared" si="34"/>
        <v>0</v>
      </c>
      <c r="G165" s="322">
        <v>2</v>
      </c>
      <c r="H165" s="300">
        <f>10*70</f>
        <v>700</v>
      </c>
      <c r="I165" s="302">
        <f t="shared" si="35"/>
        <v>21000</v>
      </c>
      <c r="J165" s="486">
        <f t="shared" si="33"/>
        <v>21000</v>
      </c>
      <c r="K165" s="85"/>
      <c r="L165" s="85"/>
    </row>
    <row r="166" spans="1:12" ht="18.95" customHeight="1" x14ac:dyDescent="0.2">
      <c r="A166" s="337" t="s">
        <v>41</v>
      </c>
      <c r="B166" s="291">
        <v>262</v>
      </c>
      <c r="C166" s="291" t="s">
        <v>61</v>
      </c>
      <c r="D166" s="321">
        <v>25</v>
      </c>
      <c r="E166" s="300">
        <v>0</v>
      </c>
      <c r="F166" s="302">
        <f t="shared" si="34"/>
        <v>0</v>
      </c>
      <c r="G166" s="322">
        <v>2</v>
      </c>
      <c r="H166" s="300">
        <f>6*15</f>
        <v>90</v>
      </c>
      <c r="I166" s="302">
        <f t="shared" si="35"/>
        <v>2250</v>
      </c>
      <c r="J166" s="486">
        <f t="shared" si="33"/>
        <v>2250</v>
      </c>
      <c r="K166" s="85"/>
      <c r="L166" s="85"/>
    </row>
    <row r="167" spans="1:12" ht="18.95" customHeight="1" x14ac:dyDescent="0.2">
      <c r="A167" s="337" t="s">
        <v>72</v>
      </c>
      <c r="B167" s="291">
        <v>262</v>
      </c>
      <c r="C167" s="291" t="s">
        <v>187</v>
      </c>
      <c r="D167" s="321">
        <v>35</v>
      </c>
      <c r="E167" s="300">
        <v>0</v>
      </c>
      <c r="F167" s="302">
        <f t="shared" si="34"/>
        <v>0</v>
      </c>
      <c r="G167" s="322">
        <v>2</v>
      </c>
      <c r="H167" s="300">
        <f>H165/5</f>
        <v>140</v>
      </c>
      <c r="I167" s="302">
        <f t="shared" si="35"/>
        <v>4900</v>
      </c>
      <c r="J167" s="486">
        <f t="shared" si="33"/>
        <v>4900</v>
      </c>
      <c r="K167" s="85"/>
      <c r="L167" s="85"/>
    </row>
    <row r="168" spans="1:12" ht="18" customHeight="1" x14ac:dyDescent="0.2">
      <c r="A168" s="337" t="s">
        <v>249</v>
      </c>
      <c r="B168" s="291">
        <v>211</v>
      </c>
      <c r="C168" s="291" t="s">
        <v>128</v>
      </c>
      <c r="D168" s="321">
        <v>32</v>
      </c>
      <c r="E168" s="300">
        <f>(16*5)*3</f>
        <v>240</v>
      </c>
      <c r="F168" s="302">
        <f t="shared" si="34"/>
        <v>7680</v>
      </c>
      <c r="G168" s="322">
        <v>1</v>
      </c>
      <c r="H168" s="300">
        <f>(16*5)*6</f>
        <v>480</v>
      </c>
      <c r="I168" s="302">
        <f t="shared" si="35"/>
        <v>15360</v>
      </c>
      <c r="J168" s="486">
        <f t="shared" si="33"/>
        <v>23040</v>
      </c>
      <c r="K168" s="85"/>
      <c r="L168" s="85"/>
    </row>
    <row r="169" spans="1:12" ht="13.5" customHeight="1" thickBot="1" x14ac:dyDescent="0.25">
      <c r="A169" s="345" t="s">
        <v>250</v>
      </c>
      <c r="B169" s="347">
        <v>211</v>
      </c>
      <c r="C169" s="347" t="s">
        <v>128</v>
      </c>
      <c r="D169" s="409">
        <v>45</v>
      </c>
      <c r="E169" s="439">
        <f>(16*5)*3</f>
        <v>240</v>
      </c>
      <c r="F169" s="364">
        <f t="shared" si="34"/>
        <v>10800</v>
      </c>
      <c r="G169" s="470">
        <v>1</v>
      </c>
      <c r="H169" s="439">
        <f>(16*5)*6</f>
        <v>480</v>
      </c>
      <c r="I169" s="364">
        <f t="shared" si="35"/>
        <v>21600</v>
      </c>
      <c r="J169" s="487">
        <f t="shared" si="33"/>
        <v>32400</v>
      </c>
      <c r="K169" s="85"/>
      <c r="L169" s="85"/>
    </row>
    <row r="170" spans="1:12" ht="26.25" customHeight="1" thickBot="1" x14ac:dyDescent="0.25">
      <c r="A170" s="904" t="str">
        <f>MR!D39</f>
        <v xml:space="preserve">1.7.3. Nueve (09) sobrevuelos en el PNSL para la detección de actividades ilícitas y monitoreo, en coordinación con el CEMEC, </v>
      </c>
      <c r="B170" s="905"/>
      <c r="C170" s="905"/>
      <c r="D170" s="410"/>
      <c r="E170" s="440"/>
      <c r="F170" s="357">
        <f>SUM(F171:F175)</f>
        <v>0</v>
      </c>
      <c r="G170" s="471"/>
      <c r="H170" s="526"/>
      <c r="I170" s="381">
        <f>SUM(I171:I175)</f>
        <v>25304</v>
      </c>
      <c r="J170" s="499">
        <f t="shared" si="33"/>
        <v>25304</v>
      </c>
    </row>
    <row r="171" spans="1:12" s="138" customFormat="1" ht="15" x14ac:dyDescent="0.2">
      <c r="A171" s="352" t="s">
        <v>361</v>
      </c>
      <c r="B171" s="353">
        <v>11</v>
      </c>
      <c r="C171" s="353" t="s">
        <v>94</v>
      </c>
      <c r="D171" s="407">
        <v>281</v>
      </c>
      <c r="E171" s="442">
        <v>0</v>
      </c>
      <c r="F171" s="354">
        <f t="shared" ref="F171:F175" si="36">E171*D171</f>
        <v>0</v>
      </c>
      <c r="G171" s="472">
        <v>2</v>
      </c>
      <c r="H171" s="442">
        <f>2*4</f>
        <v>8</v>
      </c>
      <c r="I171" s="529">
        <f t="shared" ref="I171:I175" si="37">D171*H171</f>
        <v>2248</v>
      </c>
      <c r="J171" s="480">
        <f t="shared" si="33"/>
        <v>2248</v>
      </c>
    </row>
    <row r="172" spans="1:12" s="138" customFormat="1" ht="15" x14ac:dyDescent="0.2">
      <c r="A172" s="339" t="s">
        <v>188</v>
      </c>
      <c r="B172" s="319">
        <v>11</v>
      </c>
      <c r="C172" s="319" t="s">
        <v>94</v>
      </c>
      <c r="D172" s="323">
        <v>200</v>
      </c>
      <c r="E172" s="303">
        <v>0</v>
      </c>
      <c r="F172" s="306">
        <f t="shared" si="36"/>
        <v>0</v>
      </c>
      <c r="G172" s="322">
        <v>2</v>
      </c>
      <c r="H172" s="303">
        <f>2*4</f>
        <v>8</v>
      </c>
      <c r="I172" s="315">
        <f t="shared" si="37"/>
        <v>1600</v>
      </c>
      <c r="J172" s="496">
        <f t="shared" si="33"/>
        <v>1600</v>
      </c>
    </row>
    <row r="173" spans="1:12" s="138" customFormat="1" ht="15" x14ac:dyDescent="0.2">
      <c r="A173" s="339" t="s">
        <v>168</v>
      </c>
      <c r="B173" s="319">
        <v>11</v>
      </c>
      <c r="C173" s="319" t="s">
        <v>94</v>
      </c>
      <c r="D173" s="323">
        <v>152</v>
      </c>
      <c r="E173" s="303">
        <v>0</v>
      </c>
      <c r="F173" s="306">
        <f t="shared" si="36"/>
        <v>0</v>
      </c>
      <c r="G173" s="322">
        <v>2</v>
      </c>
      <c r="H173" s="303">
        <v>8</v>
      </c>
      <c r="I173" s="315">
        <f t="shared" si="37"/>
        <v>1216</v>
      </c>
      <c r="J173" s="496">
        <f t="shared" si="33"/>
        <v>1216</v>
      </c>
    </row>
    <row r="174" spans="1:12" s="167" customFormat="1" ht="15" x14ac:dyDescent="0.2">
      <c r="A174" s="338" t="s">
        <v>195</v>
      </c>
      <c r="B174" s="319">
        <v>141</v>
      </c>
      <c r="C174" s="319" t="s">
        <v>28</v>
      </c>
      <c r="D174" s="324">
        <v>10000</v>
      </c>
      <c r="E174" s="304">
        <v>0</v>
      </c>
      <c r="F174" s="306">
        <f t="shared" si="36"/>
        <v>0</v>
      </c>
      <c r="G174" s="322">
        <v>1</v>
      </c>
      <c r="H174" s="303">
        <v>2</v>
      </c>
      <c r="I174" s="315">
        <f t="shared" si="37"/>
        <v>20000</v>
      </c>
      <c r="J174" s="496">
        <f t="shared" si="33"/>
        <v>20000</v>
      </c>
    </row>
    <row r="175" spans="1:12" s="167" customFormat="1" ht="15.75" thickBot="1" x14ac:dyDescent="0.25">
      <c r="A175" s="365" t="s">
        <v>285</v>
      </c>
      <c r="B175" s="366">
        <v>195</v>
      </c>
      <c r="C175" s="366" t="s">
        <v>44</v>
      </c>
      <c r="D175" s="412">
        <v>20</v>
      </c>
      <c r="E175" s="445"/>
      <c r="F175" s="377">
        <f t="shared" si="36"/>
        <v>0</v>
      </c>
      <c r="G175" s="470">
        <v>2</v>
      </c>
      <c r="H175" s="448">
        <f>4*3</f>
        <v>12</v>
      </c>
      <c r="I175" s="530">
        <f t="shared" si="37"/>
        <v>240</v>
      </c>
      <c r="J175" s="497">
        <f t="shared" si="33"/>
        <v>240</v>
      </c>
    </row>
    <row r="176" spans="1:12" ht="26.25" customHeight="1" thickBot="1" x14ac:dyDescent="0.25">
      <c r="A176" s="904" t="str">
        <f>MR!D40</f>
        <v>1.7.4 Se realizarán por lo menos 264 patrullajes de corto alcance en la ZI del PNSL institucionales</v>
      </c>
      <c r="B176" s="905"/>
      <c r="C176" s="905"/>
      <c r="D176" s="410"/>
      <c r="E176" s="440"/>
      <c r="F176" s="357">
        <f>SUM(F177:F207)</f>
        <v>1905635</v>
      </c>
      <c r="G176" s="471"/>
      <c r="H176" s="526"/>
      <c r="I176" s="381">
        <f>SUM(I177:I207)</f>
        <v>706122</v>
      </c>
      <c r="J176" s="499">
        <f t="shared" si="33"/>
        <v>2611757</v>
      </c>
    </row>
    <row r="177" spans="1:12" s="55" customFormat="1" ht="15" x14ac:dyDescent="0.2">
      <c r="A177" s="352" t="s">
        <v>361</v>
      </c>
      <c r="B177" s="362" t="s">
        <v>170</v>
      </c>
      <c r="C177" s="353" t="s">
        <v>94</v>
      </c>
      <c r="D177" s="411">
        <v>281</v>
      </c>
      <c r="E177" s="441">
        <v>0</v>
      </c>
      <c r="F177" s="363">
        <f t="shared" ref="F177:F207" si="38">E177*D177</f>
        <v>0</v>
      </c>
      <c r="G177" s="472">
        <v>2</v>
      </c>
      <c r="H177" s="441">
        <f>+(28*3)+(4*12)</f>
        <v>132</v>
      </c>
      <c r="I177" s="461">
        <f t="shared" ref="I177:I207" si="39">D177*H177</f>
        <v>37092</v>
      </c>
      <c r="J177" s="485">
        <f t="shared" si="33"/>
        <v>37092</v>
      </c>
      <c r="K177" s="84"/>
      <c r="L177" s="84"/>
    </row>
    <row r="178" spans="1:12" s="55" customFormat="1" ht="15" x14ac:dyDescent="0.2">
      <c r="A178" s="337" t="s">
        <v>188</v>
      </c>
      <c r="B178" s="318" t="s">
        <v>171</v>
      </c>
      <c r="C178" s="291" t="s">
        <v>128</v>
      </c>
      <c r="D178" s="325">
        <v>200</v>
      </c>
      <c r="E178" s="300">
        <v>0</v>
      </c>
      <c r="F178" s="302">
        <f t="shared" si="38"/>
        <v>0</v>
      </c>
      <c r="G178" s="322">
        <v>2</v>
      </c>
      <c r="H178" s="300">
        <f>15*12</f>
        <v>180</v>
      </c>
      <c r="I178" s="310">
        <f t="shared" si="39"/>
        <v>36000</v>
      </c>
      <c r="J178" s="486">
        <f t="shared" si="33"/>
        <v>36000</v>
      </c>
      <c r="K178" s="84"/>
      <c r="L178" s="84"/>
    </row>
    <row r="179" spans="1:12" s="55" customFormat="1" ht="15" x14ac:dyDescent="0.2">
      <c r="A179" s="337" t="s">
        <v>248</v>
      </c>
      <c r="B179" s="318" t="s">
        <v>171</v>
      </c>
      <c r="C179" s="291" t="s">
        <v>128</v>
      </c>
      <c r="D179" s="325">
        <v>200</v>
      </c>
      <c r="E179" s="300">
        <f>15*12</f>
        <v>180</v>
      </c>
      <c r="F179" s="302">
        <f t="shared" si="38"/>
        <v>36000</v>
      </c>
      <c r="G179" s="322">
        <v>1</v>
      </c>
      <c r="H179" s="300">
        <v>0</v>
      </c>
      <c r="I179" s="310">
        <f t="shared" si="39"/>
        <v>0</v>
      </c>
      <c r="J179" s="486">
        <f t="shared" si="33"/>
        <v>36000</v>
      </c>
      <c r="K179" s="84"/>
      <c r="L179" s="84"/>
    </row>
    <row r="180" spans="1:12" s="55" customFormat="1" ht="15" x14ac:dyDescent="0.2">
      <c r="A180" s="337" t="s">
        <v>190</v>
      </c>
      <c r="B180" s="291">
        <v>11</v>
      </c>
      <c r="C180" s="291" t="s">
        <v>94</v>
      </c>
      <c r="D180" s="321">
        <v>88</v>
      </c>
      <c r="E180" s="300">
        <f>39*365</f>
        <v>14235</v>
      </c>
      <c r="F180" s="302">
        <f t="shared" si="38"/>
        <v>1252680</v>
      </c>
      <c r="G180" s="322">
        <v>1</v>
      </c>
      <c r="H180" s="300">
        <v>0</v>
      </c>
      <c r="I180" s="310">
        <f t="shared" si="39"/>
        <v>0</v>
      </c>
      <c r="J180" s="486">
        <f t="shared" si="33"/>
        <v>1252680</v>
      </c>
      <c r="K180" s="84"/>
      <c r="L180" s="84"/>
    </row>
    <row r="181" spans="1:12" s="55" customFormat="1" ht="15" x14ac:dyDescent="0.2">
      <c r="A181" s="337" t="s">
        <v>189</v>
      </c>
      <c r="B181" s="291">
        <v>11</v>
      </c>
      <c r="C181" s="291" t="s">
        <v>128</v>
      </c>
      <c r="D181" s="321">
        <v>101</v>
      </c>
      <c r="E181" s="300">
        <v>0</v>
      </c>
      <c r="F181" s="302">
        <f t="shared" si="38"/>
        <v>0</v>
      </c>
      <c r="G181" s="322">
        <v>2</v>
      </c>
      <c r="H181" s="300">
        <f>3*365</f>
        <v>1095</v>
      </c>
      <c r="I181" s="310">
        <f t="shared" si="39"/>
        <v>110595</v>
      </c>
      <c r="J181" s="486">
        <f t="shared" si="33"/>
        <v>110595</v>
      </c>
      <c r="K181" s="84"/>
      <c r="L181" s="84"/>
    </row>
    <row r="182" spans="1:12" s="55" customFormat="1" ht="15" x14ac:dyDescent="0.2">
      <c r="A182" s="337" t="s">
        <v>189</v>
      </c>
      <c r="B182" s="291">
        <v>29</v>
      </c>
      <c r="C182" s="291" t="s">
        <v>128</v>
      </c>
      <c r="D182" s="321">
        <v>101</v>
      </c>
      <c r="E182" s="300">
        <v>0</v>
      </c>
      <c r="F182" s="302">
        <f t="shared" si="38"/>
        <v>0</v>
      </c>
      <c r="G182" s="322">
        <v>2</v>
      </c>
      <c r="H182" s="300">
        <f>3*365</f>
        <v>1095</v>
      </c>
      <c r="I182" s="310">
        <f t="shared" si="39"/>
        <v>110595</v>
      </c>
      <c r="J182" s="486">
        <f t="shared" si="33"/>
        <v>110595</v>
      </c>
      <c r="K182" s="84"/>
      <c r="L182" s="84"/>
    </row>
    <row r="183" spans="1:12" ht="12.75" customHeight="1" x14ac:dyDescent="0.2">
      <c r="A183" s="337" t="s">
        <v>65</v>
      </c>
      <c r="B183" s="291">
        <v>241</v>
      </c>
      <c r="C183" s="291" t="s">
        <v>49</v>
      </c>
      <c r="D183" s="321">
        <v>50</v>
      </c>
      <c r="E183" s="300">
        <v>0</v>
      </c>
      <c r="F183" s="302">
        <f t="shared" si="38"/>
        <v>0</v>
      </c>
      <c r="G183" s="322">
        <v>4</v>
      </c>
      <c r="H183" s="300">
        <v>12</v>
      </c>
      <c r="I183" s="310">
        <f t="shared" si="39"/>
        <v>600</v>
      </c>
      <c r="J183" s="486">
        <f t="shared" si="33"/>
        <v>600</v>
      </c>
      <c r="K183" s="85"/>
      <c r="L183" s="85"/>
    </row>
    <row r="184" spans="1:12" ht="12.75" customHeight="1" x14ac:dyDescent="0.2">
      <c r="A184" s="337" t="s">
        <v>43</v>
      </c>
      <c r="B184" s="291">
        <v>262</v>
      </c>
      <c r="C184" s="291" t="s">
        <v>61</v>
      </c>
      <c r="D184" s="321">
        <v>40</v>
      </c>
      <c r="E184" s="300">
        <v>2000</v>
      </c>
      <c r="F184" s="302">
        <f t="shared" si="38"/>
        <v>80000</v>
      </c>
      <c r="G184" s="322">
        <v>1</v>
      </c>
      <c r="H184" s="300">
        <f>(70*28)+(20*28)</f>
        <v>2520</v>
      </c>
      <c r="I184" s="310">
        <f t="shared" si="39"/>
        <v>100800</v>
      </c>
      <c r="J184" s="486">
        <f t="shared" si="33"/>
        <v>180800</v>
      </c>
      <c r="K184" s="85"/>
      <c r="L184" s="85"/>
    </row>
    <row r="185" spans="1:12" ht="12.75" customHeight="1" x14ac:dyDescent="0.2">
      <c r="A185" s="337" t="s">
        <v>41</v>
      </c>
      <c r="B185" s="291">
        <v>262</v>
      </c>
      <c r="C185" s="291" t="s">
        <v>61</v>
      </c>
      <c r="D185" s="321">
        <v>35</v>
      </c>
      <c r="E185" s="300">
        <v>600</v>
      </c>
      <c r="F185" s="302">
        <f t="shared" si="38"/>
        <v>21000</v>
      </c>
      <c r="G185" s="322">
        <v>1</v>
      </c>
      <c r="H185" s="300">
        <f>28*4</f>
        <v>112</v>
      </c>
      <c r="I185" s="310">
        <f t="shared" si="39"/>
        <v>3920</v>
      </c>
      <c r="J185" s="486">
        <f t="shared" si="33"/>
        <v>24920</v>
      </c>
      <c r="K185" s="85"/>
      <c r="L185" s="85"/>
    </row>
    <row r="186" spans="1:12" ht="12.75" customHeight="1" x14ac:dyDescent="0.2">
      <c r="A186" s="337" t="s">
        <v>72</v>
      </c>
      <c r="B186" s="291">
        <v>262</v>
      </c>
      <c r="C186" s="291" t="s">
        <v>187</v>
      </c>
      <c r="D186" s="321">
        <v>40</v>
      </c>
      <c r="E186" s="300">
        <v>0</v>
      </c>
      <c r="F186" s="302">
        <f t="shared" si="38"/>
        <v>0</v>
      </c>
      <c r="G186" s="322">
        <v>2</v>
      </c>
      <c r="H186" s="300">
        <f>+(28*9)+(28*3)</f>
        <v>336</v>
      </c>
      <c r="I186" s="310">
        <f t="shared" si="39"/>
        <v>13440</v>
      </c>
      <c r="J186" s="486">
        <f t="shared" si="33"/>
        <v>13440</v>
      </c>
      <c r="K186" s="85"/>
      <c r="L186" s="85"/>
    </row>
    <row r="187" spans="1:12" ht="12.75" customHeight="1" x14ac:dyDescent="0.2">
      <c r="A187" s="337" t="s">
        <v>283</v>
      </c>
      <c r="B187" s="291"/>
      <c r="C187" s="291" t="s">
        <v>67</v>
      </c>
      <c r="D187" s="326">
        <v>1500</v>
      </c>
      <c r="E187" s="300"/>
      <c r="F187" s="302">
        <f t="shared" si="38"/>
        <v>0</v>
      </c>
      <c r="G187" s="322">
        <v>2</v>
      </c>
      <c r="H187" s="300">
        <f>5*7</f>
        <v>35</v>
      </c>
      <c r="I187" s="310">
        <f t="shared" si="39"/>
        <v>52500</v>
      </c>
      <c r="J187" s="486">
        <f t="shared" si="33"/>
        <v>52500</v>
      </c>
      <c r="K187" s="85"/>
      <c r="L187" s="85"/>
    </row>
    <row r="188" spans="1:12" ht="12.75" customHeight="1" x14ac:dyDescent="0.2">
      <c r="A188" s="337" t="s">
        <v>286</v>
      </c>
      <c r="B188" s="291"/>
      <c r="C188" s="291" t="s">
        <v>67</v>
      </c>
      <c r="D188" s="321">
        <v>3500</v>
      </c>
      <c r="E188" s="300"/>
      <c r="F188" s="302">
        <f t="shared" si="38"/>
        <v>0</v>
      </c>
      <c r="G188" s="322"/>
      <c r="H188" s="300">
        <f>5*5</f>
        <v>25</v>
      </c>
      <c r="I188" s="310">
        <f t="shared" si="39"/>
        <v>87500</v>
      </c>
      <c r="J188" s="486">
        <f t="shared" si="33"/>
        <v>87500</v>
      </c>
      <c r="K188" s="85"/>
      <c r="L188" s="85"/>
    </row>
    <row r="189" spans="1:12" ht="12.75" customHeight="1" x14ac:dyDescent="0.2">
      <c r="A189" s="337" t="s">
        <v>284</v>
      </c>
      <c r="B189" s="291"/>
      <c r="C189" s="291" t="s">
        <v>67</v>
      </c>
      <c r="D189" s="321">
        <v>1200</v>
      </c>
      <c r="E189" s="300"/>
      <c r="F189" s="302">
        <f t="shared" si="38"/>
        <v>0</v>
      </c>
      <c r="G189" s="322"/>
      <c r="H189" s="300">
        <f>5*4</f>
        <v>20</v>
      </c>
      <c r="I189" s="310">
        <f t="shared" si="39"/>
        <v>24000</v>
      </c>
      <c r="J189" s="486">
        <f t="shared" si="33"/>
        <v>24000</v>
      </c>
      <c r="K189" s="85"/>
      <c r="L189" s="85"/>
    </row>
    <row r="190" spans="1:12" ht="12.75" customHeight="1" x14ac:dyDescent="0.2">
      <c r="A190" s="337" t="s">
        <v>290</v>
      </c>
      <c r="B190" s="291"/>
      <c r="C190" s="291" t="s">
        <v>67</v>
      </c>
      <c r="D190" s="321">
        <v>3000</v>
      </c>
      <c r="E190" s="300"/>
      <c r="F190" s="302">
        <f t="shared" si="38"/>
        <v>0</v>
      </c>
      <c r="G190" s="322"/>
      <c r="H190" s="300">
        <v>3</v>
      </c>
      <c r="I190" s="310">
        <f t="shared" si="39"/>
        <v>9000</v>
      </c>
      <c r="J190" s="486">
        <f t="shared" si="33"/>
        <v>9000</v>
      </c>
      <c r="K190" s="85"/>
      <c r="L190" s="85"/>
    </row>
    <row r="191" spans="1:12" ht="12.75" customHeight="1" x14ac:dyDescent="0.2">
      <c r="A191" s="337" t="s">
        <v>287</v>
      </c>
      <c r="B191" s="291"/>
      <c r="C191" s="291" t="s">
        <v>67</v>
      </c>
      <c r="D191" s="321">
        <v>6000</v>
      </c>
      <c r="E191" s="300"/>
      <c r="F191" s="302">
        <f t="shared" si="38"/>
        <v>0</v>
      </c>
      <c r="G191" s="322"/>
      <c r="H191" s="300">
        <v>3</v>
      </c>
      <c r="I191" s="310">
        <f t="shared" si="39"/>
        <v>18000</v>
      </c>
      <c r="J191" s="486">
        <f t="shared" si="33"/>
        <v>18000</v>
      </c>
      <c r="K191" s="85"/>
      <c r="L191" s="85"/>
    </row>
    <row r="192" spans="1:12" ht="12.75" customHeight="1" x14ac:dyDescent="0.2">
      <c r="A192" s="337" t="s">
        <v>214</v>
      </c>
      <c r="B192" s="291"/>
      <c r="C192" s="291" t="s">
        <v>67</v>
      </c>
      <c r="D192" s="321">
        <v>47000</v>
      </c>
      <c r="E192" s="300">
        <v>1</v>
      </c>
      <c r="F192" s="302">
        <f t="shared" si="38"/>
        <v>47000</v>
      </c>
      <c r="G192" s="322"/>
      <c r="H192" s="300">
        <v>1</v>
      </c>
      <c r="I192" s="310">
        <f t="shared" si="39"/>
        <v>47000</v>
      </c>
      <c r="J192" s="486">
        <f t="shared" si="33"/>
        <v>94000</v>
      </c>
      <c r="K192" s="85"/>
      <c r="L192" s="85"/>
    </row>
    <row r="193" spans="1:12" ht="12.75" customHeight="1" x14ac:dyDescent="0.2">
      <c r="A193" s="337" t="s">
        <v>288</v>
      </c>
      <c r="B193" s="291"/>
      <c r="C193" s="291" t="s">
        <v>67</v>
      </c>
      <c r="D193" s="321">
        <v>260</v>
      </c>
      <c r="E193" s="300">
        <v>30</v>
      </c>
      <c r="F193" s="302">
        <f t="shared" si="38"/>
        <v>7800</v>
      </c>
      <c r="G193" s="322"/>
      <c r="H193" s="300">
        <v>30</v>
      </c>
      <c r="I193" s="310">
        <f t="shared" si="39"/>
        <v>7800</v>
      </c>
      <c r="J193" s="486">
        <f t="shared" si="33"/>
        <v>15600</v>
      </c>
      <c r="K193" s="85"/>
      <c r="L193" s="85"/>
    </row>
    <row r="194" spans="1:12" ht="12.75" customHeight="1" x14ac:dyDescent="0.2">
      <c r="A194" s="337" t="s">
        <v>289</v>
      </c>
      <c r="B194" s="291"/>
      <c r="C194" s="291" t="s">
        <v>67</v>
      </c>
      <c r="D194" s="321">
        <v>300</v>
      </c>
      <c r="E194" s="300">
        <v>6</v>
      </c>
      <c r="F194" s="302">
        <f t="shared" si="38"/>
        <v>1800</v>
      </c>
      <c r="G194" s="322"/>
      <c r="H194" s="300">
        <v>6</v>
      </c>
      <c r="I194" s="310">
        <f t="shared" si="39"/>
        <v>1800</v>
      </c>
      <c r="J194" s="486">
        <f t="shared" si="33"/>
        <v>3600</v>
      </c>
      <c r="K194" s="85"/>
      <c r="L194" s="85"/>
    </row>
    <row r="195" spans="1:12" ht="12.75" customHeight="1" x14ac:dyDescent="0.2">
      <c r="A195" s="337" t="s">
        <v>269</v>
      </c>
      <c r="B195" s="291"/>
      <c r="C195" s="291" t="s">
        <v>67</v>
      </c>
      <c r="D195" s="321">
        <v>2000</v>
      </c>
      <c r="E195" s="300">
        <v>6</v>
      </c>
      <c r="F195" s="302">
        <f t="shared" si="38"/>
        <v>12000</v>
      </c>
      <c r="G195" s="322"/>
      <c r="H195" s="300">
        <v>6</v>
      </c>
      <c r="I195" s="310">
        <f t="shared" si="39"/>
        <v>12000</v>
      </c>
      <c r="J195" s="486">
        <f t="shared" si="33"/>
        <v>24000</v>
      </c>
      <c r="K195" s="85"/>
      <c r="L195" s="85"/>
    </row>
    <row r="196" spans="1:12" ht="13.5" customHeight="1" x14ac:dyDescent="0.2">
      <c r="A196" s="337" t="s">
        <v>276</v>
      </c>
      <c r="B196" s="291">
        <v>291</v>
      </c>
      <c r="C196" s="291" t="s">
        <v>67</v>
      </c>
      <c r="D196" s="321">
        <v>600</v>
      </c>
      <c r="E196" s="300">
        <v>12</v>
      </c>
      <c r="F196" s="302">
        <f t="shared" si="38"/>
        <v>7200</v>
      </c>
      <c r="G196" s="322">
        <v>2</v>
      </c>
      <c r="H196" s="300">
        <f>6*2</f>
        <v>12</v>
      </c>
      <c r="I196" s="310">
        <f t="shared" si="39"/>
        <v>7200</v>
      </c>
      <c r="J196" s="486">
        <f t="shared" si="33"/>
        <v>14400</v>
      </c>
      <c r="K196" s="85"/>
      <c r="L196" s="85"/>
    </row>
    <row r="197" spans="1:12" ht="13.5" customHeight="1" x14ac:dyDescent="0.2">
      <c r="A197" s="337" t="s">
        <v>74</v>
      </c>
      <c r="B197" s="291">
        <v>267</v>
      </c>
      <c r="C197" s="291" t="s">
        <v>67</v>
      </c>
      <c r="D197" s="321">
        <v>450</v>
      </c>
      <c r="E197" s="300">
        <v>0</v>
      </c>
      <c r="F197" s="302">
        <f t="shared" si="38"/>
        <v>0</v>
      </c>
      <c r="G197" s="322">
        <v>2</v>
      </c>
      <c r="H197" s="300">
        <v>4</v>
      </c>
      <c r="I197" s="310">
        <f t="shared" si="39"/>
        <v>1800</v>
      </c>
      <c r="J197" s="486">
        <f t="shared" si="33"/>
        <v>1800</v>
      </c>
      <c r="K197" s="85"/>
      <c r="L197" s="85"/>
    </row>
    <row r="198" spans="1:12" ht="13.5" customHeight="1" x14ac:dyDescent="0.2">
      <c r="A198" s="337" t="s">
        <v>249</v>
      </c>
      <c r="B198" s="291">
        <v>211</v>
      </c>
      <c r="C198" s="291" t="s">
        <v>67</v>
      </c>
      <c r="D198" s="321">
        <v>32</v>
      </c>
      <c r="E198" s="300">
        <f>(44/2)*365</f>
        <v>8030</v>
      </c>
      <c r="F198" s="302">
        <f t="shared" si="38"/>
        <v>256960</v>
      </c>
      <c r="G198" s="322">
        <v>1</v>
      </c>
      <c r="H198" s="300"/>
      <c r="I198" s="310">
        <f t="shared" si="39"/>
        <v>0</v>
      </c>
      <c r="J198" s="486">
        <f t="shared" si="33"/>
        <v>256960</v>
      </c>
      <c r="K198" s="85"/>
      <c r="L198" s="85"/>
    </row>
    <row r="199" spans="1:12" ht="13.5" customHeight="1" x14ac:dyDescent="0.2">
      <c r="A199" s="337" t="s">
        <v>250</v>
      </c>
      <c r="B199" s="291">
        <v>211</v>
      </c>
      <c r="C199" s="291" t="s">
        <v>67</v>
      </c>
      <c r="D199" s="321">
        <v>41</v>
      </c>
      <c r="E199" s="300">
        <f>22*20</f>
        <v>440</v>
      </c>
      <c r="F199" s="302">
        <f t="shared" si="38"/>
        <v>18040</v>
      </c>
      <c r="G199" s="322">
        <v>1</v>
      </c>
      <c r="H199" s="300"/>
      <c r="I199" s="310">
        <f t="shared" si="39"/>
        <v>0</v>
      </c>
      <c r="J199" s="486">
        <f t="shared" si="33"/>
        <v>18040</v>
      </c>
      <c r="K199" s="85"/>
      <c r="L199" s="85"/>
    </row>
    <row r="200" spans="1:12" ht="13.5" customHeight="1" x14ac:dyDescent="0.2">
      <c r="A200" s="337" t="s">
        <v>78</v>
      </c>
      <c r="B200" s="291"/>
      <c r="C200" s="291" t="s">
        <v>67</v>
      </c>
      <c r="D200" s="321">
        <v>30</v>
      </c>
      <c r="E200" s="300">
        <f>2*2*12</f>
        <v>48</v>
      </c>
      <c r="F200" s="302">
        <f t="shared" si="38"/>
        <v>1440</v>
      </c>
      <c r="G200" s="322"/>
      <c r="H200" s="300">
        <v>6</v>
      </c>
      <c r="I200" s="310">
        <f t="shared" si="39"/>
        <v>180</v>
      </c>
      <c r="J200" s="486">
        <f t="shared" si="33"/>
        <v>1620</v>
      </c>
      <c r="K200" s="85"/>
      <c r="L200" s="85"/>
    </row>
    <row r="201" spans="1:12" ht="13.5" customHeight="1" x14ac:dyDescent="0.2">
      <c r="A201" s="337" t="s">
        <v>291</v>
      </c>
      <c r="B201" s="291"/>
      <c r="C201" s="291" t="s">
        <v>67</v>
      </c>
      <c r="D201" s="321">
        <v>4000</v>
      </c>
      <c r="E201" s="300">
        <v>2</v>
      </c>
      <c r="F201" s="302">
        <f t="shared" si="38"/>
        <v>8000</v>
      </c>
      <c r="G201" s="322"/>
      <c r="H201" s="300">
        <v>2</v>
      </c>
      <c r="I201" s="310">
        <f t="shared" si="39"/>
        <v>8000</v>
      </c>
      <c r="J201" s="486">
        <f t="shared" si="33"/>
        <v>16000</v>
      </c>
      <c r="K201" s="85"/>
      <c r="L201" s="85"/>
    </row>
    <row r="202" spans="1:12" ht="13.5" customHeight="1" x14ac:dyDescent="0.2">
      <c r="A202" s="337" t="s">
        <v>292</v>
      </c>
      <c r="B202" s="291"/>
      <c r="C202" s="291" t="s">
        <v>67</v>
      </c>
      <c r="D202" s="321">
        <v>5000</v>
      </c>
      <c r="E202" s="300">
        <v>2</v>
      </c>
      <c r="F202" s="302">
        <f t="shared" si="38"/>
        <v>10000</v>
      </c>
      <c r="G202" s="322"/>
      <c r="H202" s="300">
        <v>2</v>
      </c>
      <c r="I202" s="310">
        <f t="shared" si="39"/>
        <v>10000</v>
      </c>
      <c r="J202" s="486">
        <f t="shared" si="33"/>
        <v>20000</v>
      </c>
      <c r="K202" s="85"/>
      <c r="L202" s="85"/>
    </row>
    <row r="203" spans="1:12" ht="13.5" customHeight="1" x14ac:dyDescent="0.2">
      <c r="A203" s="337" t="s">
        <v>293</v>
      </c>
      <c r="B203" s="291"/>
      <c r="C203" s="291" t="s">
        <v>67</v>
      </c>
      <c r="D203" s="321">
        <v>5000</v>
      </c>
      <c r="E203" s="300">
        <v>1</v>
      </c>
      <c r="F203" s="302">
        <f t="shared" si="38"/>
        <v>5000</v>
      </c>
      <c r="G203" s="322"/>
      <c r="H203" s="300"/>
      <c r="I203" s="310">
        <f t="shared" si="39"/>
        <v>0</v>
      </c>
      <c r="J203" s="486">
        <f t="shared" si="33"/>
        <v>5000</v>
      </c>
      <c r="K203" s="85"/>
      <c r="L203" s="85"/>
    </row>
    <row r="204" spans="1:12" ht="13.5" customHeight="1" x14ac:dyDescent="0.2">
      <c r="A204" s="337" t="s">
        <v>275</v>
      </c>
      <c r="B204" s="291"/>
      <c r="C204" s="291" t="s">
        <v>67</v>
      </c>
      <c r="D204" s="321">
        <v>250</v>
      </c>
      <c r="E204" s="300">
        <v>6</v>
      </c>
      <c r="F204" s="302">
        <f t="shared" si="38"/>
        <v>1500</v>
      </c>
      <c r="G204" s="322"/>
      <c r="H204" s="300">
        <v>6</v>
      </c>
      <c r="I204" s="310">
        <f t="shared" si="39"/>
        <v>1500</v>
      </c>
      <c r="J204" s="486">
        <f t="shared" si="33"/>
        <v>3000</v>
      </c>
      <c r="K204" s="85"/>
      <c r="L204" s="85"/>
    </row>
    <row r="205" spans="1:12" ht="13.5" customHeight="1" x14ac:dyDescent="0.2">
      <c r="A205" s="337" t="s">
        <v>294</v>
      </c>
      <c r="B205" s="291"/>
      <c r="C205" s="291" t="s">
        <v>67</v>
      </c>
      <c r="D205" s="321">
        <v>11565</v>
      </c>
      <c r="E205" s="300">
        <v>11</v>
      </c>
      <c r="F205" s="302">
        <f t="shared" si="38"/>
        <v>127215</v>
      </c>
      <c r="G205" s="322"/>
      <c r="H205" s="300"/>
      <c r="I205" s="310">
        <f t="shared" si="39"/>
        <v>0</v>
      </c>
      <c r="J205" s="486">
        <f t="shared" si="33"/>
        <v>127215</v>
      </c>
      <c r="K205" s="85"/>
      <c r="L205" s="85"/>
    </row>
    <row r="206" spans="1:12" ht="13.5" customHeight="1" x14ac:dyDescent="0.2">
      <c r="A206" s="337" t="s">
        <v>295</v>
      </c>
      <c r="B206" s="291"/>
      <c r="C206" s="291" t="s">
        <v>67</v>
      </c>
      <c r="D206" s="321">
        <v>1000</v>
      </c>
      <c r="E206" s="300">
        <v>12</v>
      </c>
      <c r="F206" s="302">
        <f t="shared" si="38"/>
        <v>12000</v>
      </c>
      <c r="G206" s="322"/>
      <c r="H206" s="300"/>
      <c r="I206" s="310">
        <f t="shared" si="39"/>
        <v>0</v>
      </c>
      <c r="J206" s="486">
        <f t="shared" si="33"/>
        <v>12000</v>
      </c>
      <c r="K206" s="85"/>
      <c r="L206" s="85"/>
    </row>
    <row r="207" spans="1:12" ht="13.5" customHeight="1" thickBot="1" x14ac:dyDescent="0.25">
      <c r="A207" s="345" t="s">
        <v>296</v>
      </c>
      <c r="B207" s="347"/>
      <c r="C207" s="347" t="s">
        <v>67</v>
      </c>
      <c r="D207" s="409">
        <v>400</v>
      </c>
      <c r="E207" s="439"/>
      <c r="F207" s="364">
        <f t="shared" si="38"/>
        <v>0</v>
      </c>
      <c r="G207" s="470"/>
      <c r="H207" s="439">
        <v>12</v>
      </c>
      <c r="I207" s="462">
        <f t="shared" si="39"/>
        <v>4800</v>
      </c>
      <c r="J207" s="487">
        <f t="shared" si="33"/>
        <v>4800</v>
      </c>
      <c r="K207" s="85"/>
      <c r="L207" s="85"/>
    </row>
    <row r="208" spans="1:12" ht="30" customHeight="1" thickBot="1" x14ac:dyDescent="0.25">
      <c r="A208" s="904" t="str">
        <f>MR!D41</f>
        <v>1.8.1.1 Se han establecido puestos de control conjuntamente entre Ejército, PNC/DIPRONA, CONAP e instituciones mexicanas para control binacional, durante épocas críticas de extracción de flora y fauna.</v>
      </c>
      <c r="B208" s="905"/>
      <c r="C208" s="905"/>
      <c r="D208" s="410"/>
      <c r="E208" s="440"/>
      <c r="F208" s="357">
        <f>SUM(F209:F213)</f>
        <v>0</v>
      </c>
      <c r="G208" s="471"/>
      <c r="H208" s="526"/>
      <c r="I208" s="381">
        <f>SUM(I209:I213)</f>
        <v>11139</v>
      </c>
      <c r="J208" s="483">
        <f t="shared" si="33"/>
        <v>11139</v>
      </c>
    </row>
    <row r="209" spans="1:12" s="138" customFormat="1" ht="15" x14ac:dyDescent="0.2">
      <c r="A209" s="352" t="s">
        <v>34</v>
      </c>
      <c r="B209" s="353">
        <v>11</v>
      </c>
      <c r="C209" s="353" t="s">
        <v>94</v>
      </c>
      <c r="D209" s="407">
        <v>715</v>
      </c>
      <c r="E209" s="441">
        <v>0</v>
      </c>
      <c r="F209" s="354">
        <f t="shared" ref="F209:F213" si="40">E209*D209</f>
        <v>0</v>
      </c>
      <c r="G209" s="472">
        <v>2</v>
      </c>
      <c r="H209" s="441">
        <v>1</v>
      </c>
      <c r="I209" s="529">
        <f t="shared" ref="I209:I213" si="41">D209*H209</f>
        <v>715</v>
      </c>
      <c r="J209" s="480">
        <f t="shared" ref="J209:J254" si="42">F209+I209</f>
        <v>715</v>
      </c>
    </row>
    <row r="210" spans="1:12" s="138" customFormat="1" ht="15" x14ac:dyDescent="0.2">
      <c r="A210" s="337" t="s">
        <v>361</v>
      </c>
      <c r="B210" s="318" t="s">
        <v>170</v>
      </c>
      <c r="C210" s="291" t="s">
        <v>94</v>
      </c>
      <c r="D210" s="325">
        <v>281</v>
      </c>
      <c r="E210" s="300">
        <v>0</v>
      </c>
      <c r="F210" s="306">
        <f t="shared" si="40"/>
        <v>0</v>
      </c>
      <c r="G210" s="322">
        <v>2</v>
      </c>
      <c r="H210" s="300">
        <v>4</v>
      </c>
      <c r="I210" s="315">
        <f t="shared" si="41"/>
        <v>1124</v>
      </c>
      <c r="J210" s="496">
        <f t="shared" si="42"/>
        <v>1124</v>
      </c>
    </row>
    <row r="211" spans="1:12" ht="15" x14ac:dyDescent="0.2">
      <c r="A211" s="337" t="s">
        <v>41</v>
      </c>
      <c r="B211" s="291">
        <v>262</v>
      </c>
      <c r="C211" s="291" t="s">
        <v>61</v>
      </c>
      <c r="D211" s="321">
        <v>35</v>
      </c>
      <c r="E211" s="300">
        <v>0</v>
      </c>
      <c r="F211" s="306">
        <f t="shared" si="40"/>
        <v>0</v>
      </c>
      <c r="G211" s="322">
        <v>2</v>
      </c>
      <c r="H211" s="300">
        <f>15*4</f>
        <v>60</v>
      </c>
      <c r="I211" s="315">
        <f t="shared" si="41"/>
        <v>2100</v>
      </c>
      <c r="J211" s="496">
        <f t="shared" si="42"/>
        <v>2100</v>
      </c>
      <c r="K211" s="85"/>
      <c r="L211" s="85"/>
    </row>
    <row r="212" spans="1:12" ht="15" x14ac:dyDescent="0.2">
      <c r="A212" s="337" t="s">
        <v>43</v>
      </c>
      <c r="B212" s="291">
        <v>262</v>
      </c>
      <c r="C212" s="291" t="s">
        <v>61</v>
      </c>
      <c r="D212" s="321">
        <v>40</v>
      </c>
      <c r="E212" s="300">
        <v>0</v>
      </c>
      <c r="F212" s="306">
        <f t="shared" si="40"/>
        <v>0</v>
      </c>
      <c r="G212" s="322">
        <v>2</v>
      </c>
      <c r="H212" s="300">
        <f>3*54</f>
        <v>162</v>
      </c>
      <c r="I212" s="315">
        <f t="shared" si="41"/>
        <v>6480</v>
      </c>
      <c r="J212" s="496">
        <f t="shared" si="42"/>
        <v>6480</v>
      </c>
      <c r="K212" s="85"/>
      <c r="L212" s="85"/>
    </row>
    <row r="213" spans="1:12" ht="15.75" thickBot="1" x14ac:dyDescent="0.25">
      <c r="A213" s="345" t="s">
        <v>72</v>
      </c>
      <c r="B213" s="347">
        <v>262</v>
      </c>
      <c r="C213" s="347" t="s">
        <v>61</v>
      </c>
      <c r="D213" s="409">
        <v>40</v>
      </c>
      <c r="E213" s="439">
        <v>0</v>
      </c>
      <c r="F213" s="377">
        <f t="shared" si="40"/>
        <v>0</v>
      </c>
      <c r="G213" s="470">
        <v>2</v>
      </c>
      <c r="H213" s="439">
        <f>3*6</f>
        <v>18</v>
      </c>
      <c r="I213" s="530">
        <f t="shared" si="41"/>
        <v>720</v>
      </c>
      <c r="J213" s="497">
        <f t="shared" si="42"/>
        <v>720</v>
      </c>
      <c r="K213" s="85"/>
      <c r="L213" s="85"/>
    </row>
    <row r="214" spans="1:12" ht="33.6" customHeight="1" thickBot="1" x14ac:dyDescent="0.25">
      <c r="A214" s="904" t="str">
        <f>MR!D42</f>
        <v>1.9.1. Doce (12) Reuniones de coordinación para  evaluar y planificar las actividades de control y vigilancia en el PNSL (Brigada de Selva, DIPRONA, CONAP)</v>
      </c>
      <c r="B214" s="905"/>
      <c r="C214" s="905"/>
      <c r="D214" s="410"/>
      <c r="E214" s="440"/>
      <c r="F214" s="357">
        <f>SUM(F215:F219)</f>
        <v>0</v>
      </c>
      <c r="G214" s="471"/>
      <c r="H214" s="526"/>
      <c r="I214" s="381">
        <f>SUM(I215:I219)</f>
        <v>9302</v>
      </c>
      <c r="J214" s="483">
        <f t="shared" si="42"/>
        <v>9302</v>
      </c>
    </row>
    <row r="215" spans="1:12" s="138" customFormat="1" ht="15" x14ac:dyDescent="0.2">
      <c r="A215" s="352" t="s">
        <v>34</v>
      </c>
      <c r="B215" s="353">
        <v>11</v>
      </c>
      <c r="C215" s="353" t="s">
        <v>94</v>
      </c>
      <c r="D215" s="407">
        <v>715</v>
      </c>
      <c r="E215" s="441">
        <v>0</v>
      </c>
      <c r="F215" s="354">
        <f t="shared" ref="F215:F219" si="43">E215*D215</f>
        <v>0</v>
      </c>
      <c r="G215" s="472">
        <v>2</v>
      </c>
      <c r="H215" s="441">
        <v>2</v>
      </c>
      <c r="I215" s="529">
        <f t="shared" ref="I215:I219" si="44">D215*H215</f>
        <v>1430</v>
      </c>
      <c r="J215" s="480">
        <f t="shared" si="42"/>
        <v>1430</v>
      </c>
    </row>
    <row r="216" spans="1:12" s="138" customFormat="1" ht="15" x14ac:dyDescent="0.2">
      <c r="A216" s="337" t="s">
        <v>361</v>
      </c>
      <c r="B216" s="318" t="s">
        <v>170</v>
      </c>
      <c r="C216" s="291" t="s">
        <v>94</v>
      </c>
      <c r="D216" s="325">
        <v>281</v>
      </c>
      <c r="E216" s="300">
        <v>0</v>
      </c>
      <c r="F216" s="306">
        <f t="shared" si="43"/>
        <v>0</v>
      </c>
      <c r="G216" s="322">
        <v>2</v>
      </c>
      <c r="H216" s="300">
        <v>12</v>
      </c>
      <c r="I216" s="315">
        <f t="shared" si="44"/>
        <v>3372</v>
      </c>
      <c r="J216" s="496">
        <f t="shared" si="42"/>
        <v>3372</v>
      </c>
    </row>
    <row r="217" spans="1:12" s="138" customFormat="1" ht="15" x14ac:dyDescent="0.2">
      <c r="A217" s="337" t="s">
        <v>41</v>
      </c>
      <c r="B217" s="318" t="s">
        <v>197</v>
      </c>
      <c r="C217" s="291" t="s">
        <v>61</v>
      </c>
      <c r="D217" s="325">
        <v>35</v>
      </c>
      <c r="E217" s="300">
        <v>0</v>
      </c>
      <c r="F217" s="306">
        <f t="shared" si="43"/>
        <v>0</v>
      </c>
      <c r="G217" s="322">
        <v>2</v>
      </c>
      <c r="H217" s="300">
        <f>12*5</f>
        <v>60</v>
      </c>
      <c r="I217" s="315">
        <f t="shared" si="44"/>
        <v>2100</v>
      </c>
      <c r="J217" s="496">
        <f t="shared" si="42"/>
        <v>2100</v>
      </c>
    </row>
    <row r="218" spans="1:12" s="138" customFormat="1" ht="15" x14ac:dyDescent="0.2">
      <c r="A218" s="337" t="s">
        <v>64</v>
      </c>
      <c r="B218" s="318"/>
      <c r="C218" s="291" t="s">
        <v>44</v>
      </c>
      <c r="D218" s="325">
        <v>50</v>
      </c>
      <c r="E218" s="300">
        <v>0</v>
      </c>
      <c r="F218" s="306">
        <f t="shared" si="43"/>
        <v>0</v>
      </c>
      <c r="G218" s="322">
        <v>2</v>
      </c>
      <c r="H218" s="300">
        <f>8*2</f>
        <v>16</v>
      </c>
      <c r="I218" s="315">
        <f t="shared" si="44"/>
        <v>800</v>
      </c>
      <c r="J218" s="496">
        <f t="shared" si="42"/>
        <v>800</v>
      </c>
    </row>
    <row r="219" spans="1:12" s="138" customFormat="1" ht="15.75" thickBot="1" x14ac:dyDescent="0.25">
      <c r="A219" s="345" t="s">
        <v>62</v>
      </c>
      <c r="B219" s="386"/>
      <c r="C219" s="347" t="s">
        <v>44</v>
      </c>
      <c r="D219" s="421">
        <v>100</v>
      </c>
      <c r="E219" s="439">
        <v>0</v>
      </c>
      <c r="F219" s="377">
        <f t="shared" si="43"/>
        <v>0</v>
      </c>
      <c r="G219" s="470">
        <v>2</v>
      </c>
      <c r="H219" s="439">
        <f>8*2</f>
        <v>16</v>
      </c>
      <c r="I219" s="530">
        <f t="shared" si="44"/>
        <v>1600</v>
      </c>
      <c r="J219" s="497">
        <f t="shared" si="42"/>
        <v>1600</v>
      </c>
    </row>
    <row r="220" spans="1:12" ht="35.1" customHeight="1" thickBot="1" x14ac:dyDescent="0.25">
      <c r="A220" s="579" t="s">
        <v>102</v>
      </c>
      <c r="B220" s="580"/>
      <c r="C220" s="580"/>
      <c r="D220" s="581"/>
      <c r="E220" s="582"/>
      <c r="F220" s="593">
        <f>F221</f>
        <v>0</v>
      </c>
      <c r="G220" s="583"/>
      <c r="H220" s="582"/>
      <c r="I220" s="596">
        <f>I221</f>
        <v>292419.5</v>
      </c>
      <c r="J220" s="584">
        <f t="shared" si="42"/>
        <v>292419.5</v>
      </c>
    </row>
    <row r="221" spans="1:12" ht="29.1" customHeight="1" thickBot="1" x14ac:dyDescent="0.25">
      <c r="A221" s="585" t="s">
        <v>101</v>
      </c>
      <c r="B221" s="585"/>
      <c r="C221" s="585"/>
      <c r="D221" s="586"/>
      <c r="E221" s="587"/>
      <c r="F221" s="588">
        <f>F223+F228+F233+F238</f>
        <v>0</v>
      </c>
      <c r="G221" s="589"/>
      <c r="H221" s="590"/>
      <c r="I221" s="591">
        <f>I223+I228+I233+I238</f>
        <v>292419.5</v>
      </c>
      <c r="J221" s="592">
        <f t="shared" si="42"/>
        <v>292419.5</v>
      </c>
    </row>
    <row r="222" spans="1:12" ht="48.75" customHeight="1" thickBot="1" x14ac:dyDescent="0.25">
      <c r="A222" s="943" t="s">
        <v>229</v>
      </c>
      <c r="B222" s="944"/>
      <c r="C222" s="944"/>
      <c r="D222" s="422"/>
      <c r="E222" s="452"/>
      <c r="F222" s="348"/>
      <c r="G222" s="475"/>
      <c r="H222" s="449"/>
      <c r="I222" s="533"/>
      <c r="J222" s="503"/>
    </row>
    <row r="223" spans="1:12" ht="34.5" customHeight="1" thickBot="1" x14ac:dyDescent="0.25">
      <c r="A223" s="904" t="str">
        <f>PC!D12</f>
        <v>2.1.1 Apoyo y seguimiento a la implementación de la temporada de investigación y conservación arqueológica en el marco del Proyecto Paisaje Piedras Negras</v>
      </c>
      <c r="B223" s="905"/>
      <c r="C223" s="905"/>
      <c r="D223" s="410"/>
      <c r="E223" s="440"/>
      <c r="F223" s="357">
        <f>SUM(F224:F227)</f>
        <v>0</v>
      </c>
      <c r="G223" s="471"/>
      <c r="H223" s="526"/>
      <c r="I223" s="381">
        <f>SUM(I224:I227)</f>
        <v>13265</v>
      </c>
      <c r="J223" s="499">
        <f t="shared" si="42"/>
        <v>13265</v>
      </c>
    </row>
    <row r="224" spans="1:12" s="54" customFormat="1" ht="15" x14ac:dyDescent="0.2">
      <c r="A224" s="352" t="s">
        <v>34</v>
      </c>
      <c r="B224" s="353">
        <v>11</v>
      </c>
      <c r="C224" s="353" t="s">
        <v>94</v>
      </c>
      <c r="D224" s="407">
        <v>715</v>
      </c>
      <c r="E224" s="442">
        <v>0</v>
      </c>
      <c r="F224" s="361">
        <f t="shared" ref="F224:F227" si="45">E224*D224</f>
        <v>0</v>
      </c>
      <c r="G224" s="472">
        <v>2</v>
      </c>
      <c r="H224" s="441">
        <v>5</v>
      </c>
      <c r="I224" s="534">
        <f t="shared" ref="I224:I227" si="46">D224*H224</f>
        <v>3575</v>
      </c>
      <c r="J224" s="484">
        <f t="shared" si="42"/>
        <v>3575</v>
      </c>
    </row>
    <row r="225" spans="1:18" s="54" customFormat="1" ht="15" x14ac:dyDescent="0.2">
      <c r="A225" s="340" t="s">
        <v>43</v>
      </c>
      <c r="B225" s="329">
        <v>262</v>
      </c>
      <c r="C225" s="329" t="s">
        <v>42</v>
      </c>
      <c r="D225" s="330">
        <v>40</v>
      </c>
      <c r="E225" s="303"/>
      <c r="F225" s="301">
        <f t="shared" si="45"/>
        <v>0</v>
      </c>
      <c r="G225" s="322">
        <v>2</v>
      </c>
      <c r="H225" s="300">
        <f>3*60</f>
        <v>180</v>
      </c>
      <c r="I225" s="328">
        <f t="shared" si="46"/>
        <v>7200</v>
      </c>
      <c r="J225" s="481">
        <f t="shared" si="42"/>
        <v>7200</v>
      </c>
    </row>
    <row r="226" spans="1:18" s="54" customFormat="1" ht="15" x14ac:dyDescent="0.2">
      <c r="A226" s="340" t="s">
        <v>72</v>
      </c>
      <c r="B226" s="329">
        <v>262</v>
      </c>
      <c r="C226" s="329" t="s">
        <v>45</v>
      </c>
      <c r="D226" s="330">
        <v>40</v>
      </c>
      <c r="E226" s="303"/>
      <c r="F226" s="301">
        <f t="shared" si="45"/>
        <v>0</v>
      </c>
      <c r="G226" s="322">
        <v>2</v>
      </c>
      <c r="H226" s="300">
        <f>H225/5</f>
        <v>36</v>
      </c>
      <c r="I226" s="328">
        <f t="shared" si="46"/>
        <v>1440</v>
      </c>
      <c r="J226" s="481">
        <f t="shared" si="42"/>
        <v>1440</v>
      </c>
    </row>
    <row r="227" spans="1:18" s="54" customFormat="1" ht="15.75" thickBot="1" x14ac:dyDescent="0.25">
      <c r="A227" s="388" t="s">
        <v>41</v>
      </c>
      <c r="B227" s="389">
        <v>262</v>
      </c>
      <c r="C227" s="389" t="s">
        <v>61</v>
      </c>
      <c r="D227" s="423">
        <v>35</v>
      </c>
      <c r="E227" s="448"/>
      <c r="F227" s="355">
        <f t="shared" si="45"/>
        <v>0</v>
      </c>
      <c r="G227" s="470">
        <v>2</v>
      </c>
      <c r="H227" s="439">
        <v>30</v>
      </c>
      <c r="I227" s="535">
        <f t="shared" si="46"/>
        <v>1050</v>
      </c>
      <c r="J227" s="482">
        <f t="shared" si="42"/>
        <v>1050</v>
      </c>
    </row>
    <row r="228" spans="1:18" ht="31.5" customHeight="1" thickBot="1" x14ac:dyDescent="0.25">
      <c r="A228" s="390" t="str">
        <f>PC!D13</f>
        <v>2.2.1  Elaboración del Plan de Gestión y Manejo de visitantes del PNSL</v>
      </c>
      <c r="B228" s="391"/>
      <c r="C228" s="391"/>
      <c r="D228" s="410"/>
      <c r="E228" s="440"/>
      <c r="F228" s="357">
        <f>SUM(F229:F232)</f>
        <v>0</v>
      </c>
      <c r="G228" s="471"/>
      <c r="H228" s="526"/>
      <c r="I228" s="381">
        <f>SUM(I229:I232)</f>
        <v>101550</v>
      </c>
      <c r="J228" s="483">
        <f t="shared" si="42"/>
        <v>101550</v>
      </c>
    </row>
    <row r="229" spans="1:18" s="138" customFormat="1" ht="15" x14ac:dyDescent="0.2">
      <c r="A229" s="383" t="s">
        <v>34</v>
      </c>
      <c r="B229" s="371">
        <v>11</v>
      </c>
      <c r="C229" s="371" t="s">
        <v>94</v>
      </c>
      <c r="D229" s="416">
        <v>715</v>
      </c>
      <c r="E229" s="441">
        <v>0</v>
      </c>
      <c r="F229" s="354">
        <f t="shared" ref="F229:F232" si="47">E229*D229</f>
        <v>0</v>
      </c>
      <c r="G229" s="472">
        <v>2</v>
      </c>
      <c r="H229" s="441">
        <v>3</v>
      </c>
      <c r="I229" s="529">
        <f t="shared" ref="I229:I232" si="48">D229*H229</f>
        <v>2145</v>
      </c>
      <c r="J229" s="480">
        <f t="shared" si="42"/>
        <v>2145</v>
      </c>
    </row>
    <row r="230" spans="1:18" s="138" customFormat="1" ht="15" x14ac:dyDescent="0.2">
      <c r="A230" s="339" t="s">
        <v>339</v>
      </c>
      <c r="B230" s="319">
        <v>11</v>
      </c>
      <c r="C230" s="319" t="s">
        <v>94</v>
      </c>
      <c r="D230" s="323">
        <v>422</v>
      </c>
      <c r="E230" s="300">
        <v>0</v>
      </c>
      <c r="F230" s="306">
        <f t="shared" si="47"/>
        <v>0</v>
      </c>
      <c r="G230" s="322">
        <v>2</v>
      </c>
      <c r="H230" s="300">
        <v>10</v>
      </c>
      <c r="I230" s="315">
        <f t="shared" si="48"/>
        <v>4220</v>
      </c>
      <c r="J230" s="496">
        <f t="shared" si="42"/>
        <v>4220</v>
      </c>
    </row>
    <row r="231" spans="1:18" s="138" customFormat="1" ht="15" x14ac:dyDescent="0.2">
      <c r="A231" s="339" t="s">
        <v>340</v>
      </c>
      <c r="B231" s="319"/>
      <c r="C231" s="319" t="s">
        <v>44</v>
      </c>
      <c r="D231" s="323">
        <f>6500*8.49</f>
        <v>55185</v>
      </c>
      <c r="E231" s="300"/>
      <c r="F231" s="306">
        <f t="shared" si="47"/>
        <v>0</v>
      </c>
      <c r="G231" s="322"/>
      <c r="H231" s="300">
        <v>1</v>
      </c>
      <c r="I231" s="315">
        <f t="shared" si="48"/>
        <v>55185</v>
      </c>
      <c r="J231" s="496">
        <f t="shared" si="42"/>
        <v>55185</v>
      </c>
    </row>
    <row r="232" spans="1:18" s="138" customFormat="1" ht="15.75" thickBot="1" x14ac:dyDescent="0.25">
      <c r="A232" s="378" t="s">
        <v>362</v>
      </c>
      <c r="B232" s="366"/>
      <c r="C232" s="366" t="s">
        <v>44</v>
      </c>
      <c r="D232" s="417">
        <v>10000</v>
      </c>
      <c r="E232" s="439"/>
      <c r="F232" s="377">
        <f t="shared" si="47"/>
        <v>0</v>
      </c>
      <c r="G232" s="470"/>
      <c r="H232" s="439">
        <v>4</v>
      </c>
      <c r="I232" s="530">
        <f t="shared" si="48"/>
        <v>40000</v>
      </c>
      <c r="J232" s="497">
        <f t="shared" si="42"/>
        <v>40000</v>
      </c>
    </row>
    <row r="233" spans="1:18" ht="31.5" customHeight="1" thickBot="1" x14ac:dyDescent="0.25">
      <c r="A233" s="390" t="str">
        <f>PC!D14</f>
        <v>2.3.1 Implementacion de un plan de negocios para la actividad turistica en el PNSL, que incluya capacitacion y desarrollo de infraestructura de bajo impacto.</v>
      </c>
      <c r="B233" s="391"/>
      <c r="C233" s="391"/>
      <c r="D233" s="410"/>
      <c r="E233" s="440"/>
      <c r="F233" s="357">
        <f>SUM(F234:F237)</f>
        <v>0</v>
      </c>
      <c r="G233" s="471"/>
      <c r="H233" s="526"/>
      <c r="I233" s="381">
        <f>SUM(I234:I237)</f>
        <v>173389.5</v>
      </c>
      <c r="J233" s="483">
        <f t="shared" si="42"/>
        <v>173389.5</v>
      </c>
    </row>
    <row r="234" spans="1:18" s="55" customFormat="1" ht="15.75" x14ac:dyDescent="0.25">
      <c r="A234" s="352" t="s">
        <v>361</v>
      </c>
      <c r="B234" s="362" t="s">
        <v>170</v>
      </c>
      <c r="C234" s="353" t="s">
        <v>94</v>
      </c>
      <c r="D234" s="411">
        <v>281</v>
      </c>
      <c r="E234" s="453">
        <v>0</v>
      </c>
      <c r="F234" s="392">
        <f t="shared" ref="F234:F237" si="49">E234*D234</f>
        <v>0</v>
      </c>
      <c r="G234" s="472">
        <v>2</v>
      </c>
      <c r="H234" s="536">
        <v>1</v>
      </c>
      <c r="I234" s="537">
        <f t="shared" ref="I234:I237" si="50">D234*H234</f>
        <v>281</v>
      </c>
      <c r="J234" s="504">
        <f t="shared" si="42"/>
        <v>281</v>
      </c>
      <c r="K234" s="137"/>
      <c r="L234" s="137"/>
      <c r="M234" s="137"/>
      <c r="N234" s="137"/>
      <c r="O234" s="137"/>
      <c r="P234" s="137"/>
      <c r="Q234" s="137"/>
      <c r="R234" s="137"/>
    </row>
    <row r="235" spans="1:18" ht="15" x14ac:dyDescent="0.2">
      <c r="A235" s="337" t="s">
        <v>363</v>
      </c>
      <c r="B235" s="318" t="s">
        <v>170</v>
      </c>
      <c r="C235" s="291" t="s">
        <v>94</v>
      </c>
      <c r="D235" s="325">
        <v>422</v>
      </c>
      <c r="E235" s="300">
        <v>0</v>
      </c>
      <c r="F235" s="301">
        <f t="shared" si="49"/>
        <v>0</v>
      </c>
      <c r="G235" s="322">
        <v>2</v>
      </c>
      <c r="H235" s="300">
        <v>1</v>
      </c>
      <c r="I235" s="328">
        <f t="shared" si="50"/>
        <v>422</v>
      </c>
      <c r="J235" s="481">
        <f t="shared" si="42"/>
        <v>422</v>
      </c>
    </row>
    <row r="236" spans="1:18" ht="15" x14ac:dyDescent="0.2">
      <c r="A236" s="337" t="s">
        <v>341</v>
      </c>
      <c r="B236" s="318"/>
      <c r="C236" s="291" t="s">
        <v>44</v>
      </c>
      <c r="D236" s="325">
        <f>3850*8.49</f>
        <v>32686.5</v>
      </c>
      <c r="E236" s="300"/>
      <c r="F236" s="301">
        <f t="shared" si="49"/>
        <v>0</v>
      </c>
      <c r="G236" s="322"/>
      <c r="H236" s="300">
        <v>1</v>
      </c>
      <c r="I236" s="328">
        <f t="shared" si="50"/>
        <v>32686.5</v>
      </c>
      <c r="J236" s="481">
        <f t="shared" si="42"/>
        <v>32686.5</v>
      </c>
    </row>
    <row r="237" spans="1:18" ht="15.75" thickBot="1" x14ac:dyDescent="0.25">
      <c r="A237" s="345" t="s">
        <v>342</v>
      </c>
      <c r="B237" s="386"/>
      <c r="C237" s="347" t="s">
        <v>44</v>
      </c>
      <c r="D237" s="421">
        <v>35000</v>
      </c>
      <c r="E237" s="439"/>
      <c r="F237" s="355">
        <f t="shared" si="49"/>
        <v>0</v>
      </c>
      <c r="G237" s="470"/>
      <c r="H237" s="439">
        <v>4</v>
      </c>
      <c r="I237" s="535">
        <f t="shared" si="50"/>
        <v>140000</v>
      </c>
      <c r="J237" s="482">
        <f t="shared" si="42"/>
        <v>140000</v>
      </c>
    </row>
    <row r="238" spans="1:18" ht="31.5" customHeight="1" thickBot="1" x14ac:dyDescent="0.25">
      <c r="A238" s="904" t="str">
        <f>PC!D15</f>
        <v xml:space="preserve">2.3.2 Registro de visitantes al sitio Arqueologico Piedras Negras </v>
      </c>
      <c r="B238" s="905"/>
      <c r="C238" s="905"/>
      <c r="D238" s="410"/>
      <c r="E238" s="440"/>
      <c r="F238" s="357">
        <f>SUM(F239)</f>
        <v>0</v>
      </c>
      <c r="G238" s="471"/>
      <c r="H238" s="526"/>
      <c r="I238" s="381">
        <f>SUM(I239)</f>
        <v>4215</v>
      </c>
      <c r="J238" s="483">
        <f t="shared" si="42"/>
        <v>4215</v>
      </c>
    </row>
    <row r="239" spans="1:18" ht="15.75" thickBot="1" x14ac:dyDescent="0.25">
      <c r="A239" s="393" t="s">
        <v>361</v>
      </c>
      <c r="B239" s="394" t="s">
        <v>170</v>
      </c>
      <c r="C239" s="395" t="s">
        <v>94</v>
      </c>
      <c r="D239" s="424">
        <v>281</v>
      </c>
      <c r="E239" s="454">
        <v>0</v>
      </c>
      <c r="F239" s="396">
        <f>E239*D239</f>
        <v>0</v>
      </c>
      <c r="G239" s="473">
        <v>2</v>
      </c>
      <c r="H239" s="454">
        <v>15</v>
      </c>
      <c r="I239" s="538">
        <f t="shared" ref="I239" si="51">D239*H239</f>
        <v>4215</v>
      </c>
      <c r="J239" s="505">
        <f t="shared" si="42"/>
        <v>4215</v>
      </c>
    </row>
    <row r="240" spans="1:18" s="55" customFormat="1" ht="25.5" customHeight="1" thickBot="1" x14ac:dyDescent="0.25">
      <c r="A240" s="579" t="s">
        <v>103</v>
      </c>
      <c r="B240" s="580"/>
      <c r="C240" s="580"/>
      <c r="D240" s="581"/>
      <c r="E240" s="582"/>
      <c r="F240" s="593">
        <f>F241</f>
        <v>18480</v>
      </c>
      <c r="G240" s="594"/>
      <c r="H240" s="595"/>
      <c r="I240" s="596">
        <f>I241</f>
        <v>427549</v>
      </c>
      <c r="J240" s="584">
        <f t="shared" si="42"/>
        <v>446029</v>
      </c>
    </row>
    <row r="241" spans="1:18" s="55" customFormat="1" ht="30" customHeight="1" thickBot="1" x14ac:dyDescent="0.25">
      <c r="A241" s="585" t="s">
        <v>131</v>
      </c>
      <c r="B241" s="585"/>
      <c r="C241" s="585"/>
      <c r="D241" s="586"/>
      <c r="E241" s="587"/>
      <c r="F241" s="588">
        <f>F243+F247+F256+F264</f>
        <v>18480</v>
      </c>
      <c r="G241" s="589"/>
      <c r="H241" s="590"/>
      <c r="I241" s="591">
        <f>I243+I247+I256+I264</f>
        <v>427549</v>
      </c>
      <c r="J241" s="592">
        <f t="shared" si="42"/>
        <v>446029</v>
      </c>
    </row>
    <row r="242" spans="1:18" s="55" customFormat="1" ht="50.25" customHeight="1" thickBot="1" x14ac:dyDescent="0.25">
      <c r="A242" s="945" t="s">
        <v>132</v>
      </c>
      <c r="B242" s="946"/>
      <c r="C242" s="946"/>
      <c r="D242" s="418"/>
      <c r="E242" s="456"/>
      <c r="F242" s="397"/>
      <c r="G242" s="475"/>
      <c r="H242" s="540"/>
      <c r="I242" s="397"/>
      <c r="J242" s="506"/>
    </row>
    <row r="243" spans="1:18" ht="35.1" customHeight="1" thickBot="1" x14ac:dyDescent="0.25">
      <c r="A243" s="957" t="str">
        <f>'I&amp;M'!D11</f>
        <v>3.1.1 Actualizar la información socioeconómica básica de las comunidades del PNSL.</v>
      </c>
      <c r="B243" s="905"/>
      <c r="C243" s="905"/>
      <c r="D243" s="410"/>
      <c r="E243" s="440"/>
      <c r="F243" s="357">
        <f>SUM(F244:F246)</f>
        <v>0</v>
      </c>
      <c r="G243" s="471"/>
      <c r="H243" s="526"/>
      <c r="I243" s="381">
        <f>SUM(I244:I246)</f>
        <v>8035</v>
      </c>
      <c r="J243" s="483">
        <f t="shared" si="42"/>
        <v>8035</v>
      </c>
    </row>
    <row r="244" spans="1:18" s="54" customFormat="1" ht="18.95" customHeight="1" x14ac:dyDescent="0.25">
      <c r="A244" s="352" t="s">
        <v>494</v>
      </c>
      <c r="B244" s="362" t="s">
        <v>192</v>
      </c>
      <c r="C244" s="353" t="s">
        <v>128</v>
      </c>
      <c r="D244" s="411">
        <v>557</v>
      </c>
      <c r="E244" s="453"/>
      <c r="F244" s="392">
        <f t="shared" ref="F244:F246" si="52">E244*D244</f>
        <v>0</v>
      </c>
      <c r="G244" s="472">
        <v>2</v>
      </c>
      <c r="H244" s="536">
        <v>5</v>
      </c>
      <c r="I244" s="541">
        <f t="shared" ref="I244:I246" si="53">D244*H244</f>
        <v>2785</v>
      </c>
      <c r="J244" s="504">
        <f t="shared" si="42"/>
        <v>2785</v>
      </c>
      <c r="K244" s="137"/>
      <c r="L244" s="137"/>
      <c r="M244" s="137"/>
      <c r="N244" s="137"/>
      <c r="O244" s="137"/>
      <c r="P244" s="137"/>
      <c r="Q244" s="137"/>
      <c r="R244" s="137"/>
    </row>
    <row r="245" spans="1:18" s="54" customFormat="1" ht="18.95" customHeight="1" x14ac:dyDescent="0.25">
      <c r="A245" s="337" t="s">
        <v>343</v>
      </c>
      <c r="B245" s="318" t="s">
        <v>171</v>
      </c>
      <c r="C245" s="291" t="s">
        <v>94</v>
      </c>
      <c r="D245" s="325">
        <v>150</v>
      </c>
      <c r="E245" s="307">
        <v>0</v>
      </c>
      <c r="F245" s="308">
        <f t="shared" si="52"/>
        <v>0</v>
      </c>
      <c r="G245" s="322">
        <v>2</v>
      </c>
      <c r="H245" s="309">
        <v>15</v>
      </c>
      <c r="I245" s="542">
        <f t="shared" si="53"/>
        <v>2250</v>
      </c>
      <c r="J245" s="507">
        <f t="shared" si="42"/>
        <v>2250</v>
      </c>
      <c r="K245" s="137"/>
      <c r="L245" s="137"/>
      <c r="M245" s="137"/>
      <c r="N245" s="137"/>
      <c r="O245" s="137"/>
      <c r="P245" s="137"/>
      <c r="Q245" s="137"/>
      <c r="R245" s="137"/>
    </row>
    <row r="246" spans="1:18" s="54" customFormat="1" ht="24" customHeight="1" thickBot="1" x14ac:dyDescent="0.3">
      <c r="A246" s="345" t="s">
        <v>495</v>
      </c>
      <c r="B246" s="386" t="s">
        <v>171</v>
      </c>
      <c r="C246" s="347" t="s">
        <v>94</v>
      </c>
      <c r="D246" s="421">
        <v>200</v>
      </c>
      <c r="E246" s="457">
        <v>0</v>
      </c>
      <c r="F246" s="398">
        <f t="shared" si="52"/>
        <v>0</v>
      </c>
      <c r="G246" s="470">
        <v>2</v>
      </c>
      <c r="H246" s="458">
        <v>15</v>
      </c>
      <c r="I246" s="543">
        <f t="shared" si="53"/>
        <v>3000</v>
      </c>
      <c r="J246" s="508">
        <f t="shared" si="42"/>
        <v>3000</v>
      </c>
      <c r="K246" s="137"/>
      <c r="L246" s="137"/>
      <c r="M246" s="137"/>
      <c r="N246" s="137"/>
      <c r="O246" s="137"/>
      <c r="P246" s="137"/>
      <c r="Q246" s="137"/>
      <c r="R246" s="137"/>
    </row>
    <row r="247" spans="1:18" s="55" customFormat="1" ht="35.450000000000003" customHeight="1" thickBot="1" x14ac:dyDescent="0.25">
      <c r="A247" s="953" t="str">
        <f>'I&amp;M'!D12</f>
        <v>3.4.1 Implementar el Plan de Monitoreo Biológico, Social, de Emisiones de Carbono en el Parque Nacional Sierra de Lacandón (REDD+)</v>
      </c>
      <c r="B247" s="954"/>
      <c r="C247" s="954"/>
      <c r="D247" s="410"/>
      <c r="E247" s="440"/>
      <c r="F247" s="357">
        <f>SUM(F248:F255)</f>
        <v>7920</v>
      </c>
      <c r="G247" s="471"/>
      <c r="H247" s="518"/>
      <c r="I247" s="351">
        <f>SUM(I248:I255)</f>
        <v>286458</v>
      </c>
      <c r="J247" s="483">
        <f t="shared" si="42"/>
        <v>294378</v>
      </c>
    </row>
    <row r="248" spans="1:18" s="55" customFormat="1" ht="15.75" customHeight="1" x14ac:dyDescent="0.2">
      <c r="A248" s="352" t="s">
        <v>344</v>
      </c>
      <c r="B248" s="362" t="s">
        <v>170</v>
      </c>
      <c r="C248" s="353" t="s">
        <v>94</v>
      </c>
      <c r="D248" s="411">
        <v>422</v>
      </c>
      <c r="E248" s="453">
        <v>0</v>
      </c>
      <c r="F248" s="392">
        <f t="shared" ref="F248:F255" si="54">E248*D248</f>
        <v>0</v>
      </c>
      <c r="G248" s="472">
        <v>2</v>
      </c>
      <c r="H248" s="536">
        <f>365*0.6</f>
        <v>219</v>
      </c>
      <c r="I248" s="541">
        <f t="shared" ref="I248:I255" si="55">D248*H248</f>
        <v>92418</v>
      </c>
      <c r="J248" s="504">
        <f t="shared" si="42"/>
        <v>92418</v>
      </c>
    </row>
    <row r="249" spans="1:18" s="55" customFormat="1" ht="15.75" customHeight="1" x14ac:dyDescent="0.2">
      <c r="A249" s="337" t="s">
        <v>190</v>
      </c>
      <c r="B249" s="318" t="s">
        <v>170</v>
      </c>
      <c r="C249" s="291" t="s">
        <v>94</v>
      </c>
      <c r="D249" s="325">
        <v>88</v>
      </c>
      <c r="E249" s="307">
        <v>90</v>
      </c>
      <c r="F249" s="308">
        <f t="shared" si="54"/>
        <v>7920</v>
      </c>
      <c r="G249" s="322">
        <v>1</v>
      </c>
      <c r="H249" s="309">
        <v>0</v>
      </c>
      <c r="I249" s="542">
        <f t="shared" si="55"/>
        <v>0</v>
      </c>
      <c r="J249" s="507">
        <f t="shared" si="42"/>
        <v>7920</v>
      </c>
    </row>
    <row r="250" spans="1:18" s="55" customFormat="1" ht="14.1" customHeight="1" x14ac:dyDescent="0.2">
      <c r="A250" s="337" t="s">
        <v>168</v>
      </c>
      <c r="B250" s="318" t="s">
        <v>171</v>
      </c>
      <c r="C250" s="291" t="s">
        <v>94</v>
      </c>
      <c r="D250" s="325">
        <v>152</v>
      </c>
      <c r="E250" s="307">
        <v>0</v>
      </c>
      <c r="F250" s="308">
        <f t="shared" si="54"/>
        <v>0</v>
      </c>
      <c r="G250" s="322">
        <v>2</v>
      </c>
      <c r="H250" s="309">
        <f>15*12</f>
        <v>180</v>
      </c>
      <c r="I250" s="542">
        <f t="shared" si="55"/>
        <v>27360</v>
      </c>
      <c r="J250" s="507">
        <f t="shared" si="42"/>
        <v>27360</v>
      </c>
    </row>
    <row r="251" spans="1:18" s="55" customFormat="1" ht="14.1" customHeight="1" x14ac:dyDescent="0.2">
      <c r="A251" s="337" t="s">
        <v>169</v>
      </c>
      <c r="B251" s="318" t="s">
        <v>170</v>
      </c>
      <c r="C251" s="291" t="s">
        <v>94</v>
      </c>
      <c r="D251" s="325">
        <v>186</v>
      </c>
      <c r="E251" s="307">
        <v>0</v>
      </c>
      <c r="F251" s="308">
        <f t="shared" si="54"/>
        <v>0</v>
      </c>
      <c r="G251" s="322">
        <v>2</v>
      </c>
      <c r="H251" s="309">
        <f>15*12</f>
        <v>180</v>
      </c>
      <c r="I251" s="542">
        <f t="shared" si="55"/>
        <v>33480</v>
      </c>
      <c r="J251" s="507">
        <f t="shared" si="42"/>
        <v>33480</v>
      </c>
    </row>
    <row r="252" spans="1:18" s="55" customFormat="1" ht="14.1" customHeight="1" x14ac:dyDescent="0.2">
      <c r="A252" s="337" t="s">
        <v>43</v>
      </c>
      <c r="B252" s="318" t="s">
        <v>197</v>
      </c>
      <c r="C252" s="291" t="s">
        <v>61</v>
      </c>
      <c r="D252" s="325">
        <v>40</v>
      </c>
      <c r="E252" s="307">
        <v>0</v>
      </c>
      <c r="F252" s="308">
        <f t="shared" si="54"/>
        <v>0</v>
      </c>
      <c r="G252" s="322">
        <v>2</v>
      </c>
      <c r="H252" s="309">
        <f>(60*12)*2</f>
        <v>1440</v>
      </c>
      <c r="I252" s="542">
        <f t="shared" si="55"/>
        <v>57600</v>
      </c>
      <c r="J252" s="507">
        <f t="shared" si="42"/>
        <v>57600</v>
      </c>
    </row>
    <row r="253" spans="1:18" s="55" customFormat="1" ht="14.1" customHeight="1" x14ac:dyDescent="0.2">
      <c r="A253" s="337" t="s">
        <v>41</v>
      </c>
      <c r="B253" s="318" t="s">
        <v>197</v>
      </c>
      <c r="C253" s="291" t="s">
        <v>61</v>
      </c>
      <c r="D253" s="325">
        <v>35</v>
      </c>
      <c r="E253" s="307">
        <v>0</v>
      </c>
      <c r="F253" s="308">
        <f t="shared" si="54"/>
        <v>0</v>
      </c>
      <c r="G253" s="322">
        <v>2</v>
      </c>
      <c r="H253" s="309">
        <f>(2*15)*12</f>
        <v>360</v>
      </c>
      <c r="I253" s="542">
        <f t="shared" si="55"/>
        <v>12600</v>
      </c>
      <c r="J253" s="507">
        <f t="shared" si="42"/>
        <v>12600</v>
      </c>
    </row>
    <row r="254" spans="1:18" s="55" customFormat="1" ht="14.1" customHeight="1" x14ac:dyDescent="0.2">
      <c r="A254" s="337" t="s">
        <v>160</v>
      </c>
      <c r="B254" s="318"/>
      <c r="C254" s="291" t="s">
        <v>67</v>
      </c>
      <c r="D254" s="325">
        <v>41</v>
      </c>
      <c r="E254" s="307">
        <v>0</v>
      </c>
      <c r="F254" s="308">
        <f t="shared" si="54"/>
        <v>0</v>
      </c>
      <c r="G254" s="322">
        <v>2</v>
      </c>
      <c r="H254" s="309">
        <f>(5*15)*12</f>
        <v>900</v>
      </c>
      <c r="I254" s="542">
        <f t="shared" si="55"/>
        <v>36900</v>
      </c>
      <c r="J254" s="507">
        <f t="shared" si="42"/>
        <v>36900</v>
      </c>
    </row>
    <row r="255" spans="1:18" s="55" customFormat="1" ht="14.1" customHeight="1" thickBot="1" x14ac:dyDescent="0.25">
      <c r="A255" s="345" t="s">
        <v>161</v>
      </c>
      <c r="B255" s="386"/>
      <c r="C255" s="347" t="s">
        <v>67</v>
      </c>
      <c r="D255" s="421">
        <v>29</v>
      </c>
      <c r="E255" s="457">
        <v>0</v>
      </c>
      <c r="F255" s="398">
        <f t="shared" si="54"/>
        <v>0</v>
      </c>
      <c r="G255" s="470">
        <v>2</v>
      </c>
      <c r="H255" s="458">
        <f>(5*15)*12</f>
        <v>900</v>
      </c>
      <c r="I255" s="543">
        <f t="shared" si="55"/>
        <v>26100</v>
      </c>
      <c r="J255" s="508">
        <f t="shared" ref="J255:J306" si="56">F255+I255</f>
        <v>26100</v>
      </c>
    </row>
    <row r="256" spans="1:18" s="55" customFormat="1" ht="32.450000000000003" customHeight="1" thickBot="1" x14ac:dyDescent="0.3">
      <c r="A256" s="913" t="str">
        <f>+'I&amp;M'!D13</f>
        <v>3.5.1 Monitoreo socioambiental del impacto de la implementacion de proyectos productivos como la apicultura, SAF biodiversos, MFS, entre otros, en el PNSL.</v>
      </c>
      <c r="B256" s="914"/>
      <c r="C256" s="914"/>
      <c r="D256" s="426"/>
      <c r="E256" s="459"/>
      <c r="F256" s="555">
        <f>SUM(F257:F263)</f>
        <v>10560</v>
      </c>
      <c r="G256" s="556"/>
      <c r="H256" s="557"/>
      <c r="I256" s="558">
        <f>SUM(I257:I263)</f>
        <v>122946</v>
      </c>
      <c r="J256" s="559">
        <f t="shared" si="56"/>
        <v>133506</v>
      </c>
    </row>
    <row r="257" spans="1:11" s="55" customFormat="1" ht="14.1" customHeight="1" x14ac:dyDescent="0.2">
      <c r="A257" s="352" t="s">
        <v>344</v>
      </c>
      <c r="B257" s="362" t="s">
        <v>170</v>
      </c>
      <c r="C257" s="353" t="s">
        <v>94</v>
      </c>
      <c r="D257" s="411">
        <v>422</v>
      </c>
      <c r="E257" s="453">
        <v>0</v>
      </c>
      <c r="F257" s="392">
        <f t="shared" ref="F257:F263" si="57">E257*D257</f>
        <v>0</v>
      </c>
      <c r="G257" s="472">
        <v>2</v>
      </c>
      <c r="H257" s="536">
        <f>365*0.2</f>
        <v>73</v>
      </c>
      <c r="I257" s="541">
        <f t="shared" ref="I257:I263" si="58">D257*H257</f>
        <v>30806</v>
      </c>
      <c r="J257" s="504">
        <f t="shared" si="56"/>
        <v>30806</v>
      </c>
    </row>
    <row r="258" spans="1:11" s="55" customFormat="1" ht="14.1" customHeight="1" x14ac:dyDescent="0.2">
      <c r="A258" s="337" t="s">
        <v>190</v>
      </c>
      <c r="B258" s="318" t="s">
        <v>170</v>
      </c>
      <c r="C258" s="291" t="s">
        <v>94</v>
      </c>
      <c r="D258" s="325">
        <v>88</v>
      </c>
      <c r="E258" s="307">
        <v>120</v>
      </c>
      <c r="F258" s="308">
        <f t="shared" si="57"/>
        <v>10560</v>
      </c>
      <c r="G258" s="322">
        <v>1</v>
      </c>
      <c r="H258" s="309">
        <v>0</v>
      </c>
      <c r="I258" s="542">
        <f t="shared" si="58"/>
        <v>0</v>
      </c>
      <c r="J258" s="507">
        <f t="shared" si="56"/>
        <v>10560</v>
      </c>
    </row>
    <row r="259" spans="1:11" s="55" customFormat="1" ht="14.1" customHeight="1" x14ac:dyDescent="0.2">
      <c r="A259" s="337" t="s">
        <v>169</v>
      </c>
      <c r="B259" s="318" t="s">
        <v>170</v>
      </c>
      <c r="C259" s="291" t="s">
        <v>94</v>
      </c>
      <c r="D259" s="325">
        <v>186</v>
      </c>
      <c r="E259" s="307">
        <v>0</v>
      </c>
      <c r="F259" s="308">
        <f t="shared" si="57"/>
        <v>0</v>
      </c>
      <c r="G259" s="322">
        <v>2</v>
      </c>
      <c r="H259" s="309">
        <v>90</v>
      </c>
      <c r="I259" s="542">
        <f t="shared" si="58"/>
        <v>16740</v>
      </c>
      <c r="J259" s="507">
        <f t="shared" si="56"/>
        <v>16740</v>
      </c>
    </row>
    <row r="260" spans="1:11" s="55" customFormat="1" ht="14.1" customHeight="1" x14ac:dyDescent="0.2">
      <c r="A260" s="337" t="s">
        <v>43</v>
      </c>
      <c r="B260" s="318" t="s">
        <v>197</v>
      </c>
      <c r="C260" s="291" t="s">
        <v>61</v>
      </c>
      <c r="D260" s="325">
        <v>40</v>
      </c>
      <c r="E260" s="307">
        <v>0</v>
      </c>
      <c r="F260" s="308">
        <f t="shared" si="57"/>
        <v>0</v>
      </c>
      <c r="G260" s="322">
        <v>2</v>
      </c>
      <c r="H260" s="309">
        <v>520</v>
      </c>
      <c r="I260" s="542">
        <f t="shared" si="58"/>
        <v>20800</v>
      </c>
      <c r="J260" s="507">
        <f t="shared" si="56"/>
        <v>20800</v>
      </c>
    </row>
    <row r="261" spans="1:11" s="55" customFormat="1" ht="14.1" customHeight="1" x14ac:dyDescent="0.2">
      <c r="A261" s="337" t="s">
        <v>41</v>
      </c>
      <c r="B261" s="318" t="s">
        <v>197</v>
      </c>
      <c r="C261" s="291" t="s">
        <v>61</v>
      </c>
      <c r="D261" s="325">
        <v>35</v>
      </c>
      <c r="E261" s="307">
        <v>0</v>
      </c>
      <c r="F261" s="308">
        <f t="shared" si="57"/>
        <v>0</v>
      </c>
      <c r="G261" s="322">
        <v>2</v>
      </c>
      <c r="H261" s="309">
        <v>360</v>
      </c>
      <c r="I261" s="542">
        <f t="shared" si="58"/>
        <v>12600</v>
      </c>
      <c r="J261" s="507">
        <f t="shared" si="56"/>
        <v>12600</v>
      </c>
    </row>
    <row r="262" spans="1:11" s="55" customFormat="1" ht="13.9" customHeight="1" x14ac:dyDescent="0.2">
      <c r="A262" s="337" t="s">
        <v>160</v>
      </c>
      <c r="B262" s="318"/>
      <c r="C262" s="291" t="s">
        <v>67</v>
      </c>
      <c r="D262" s="325">
        <v>41</v>
      </c>
      <c r="E262" s="307">
        <v>0</v>
      </c>
      <c r="F262" s="308">
        <f t="shared" si="57"/>
        <v>0</v>
      </c>
      <c r="G262" s="322">
        <v>2</v>
      </c>
      <c r="H262" s="309">
        <v>600</v>
      </c>
      <c r="I262" s="542">
        <f t="shared" si="58"/>
        <v>24600</v>
      </c>
      <c r="J262" s="507">
        <f t="shared" si="56"/>
        <v>24600</v>
      </c>
    </row>
    <row r="263" spans="1:11" s="55" customFormat="1" ht="14.1" customHeight="1" thickBot="1" x14ac:dyDescent="0.25">
      <c r="A263" s="345" t="s">
        <v>161</v>
      </c>
      <c r="B263" s="386"/>
      <c r="C263" s="347" t="s">
        <v>67</v>
      </c>
      <c r="D263" s="421">
        <v>29</v>
      </c>
      <c r="E263" s="457">
        <v>0</v>
      </c>
      <c r="F263" s="398">
        <f t="shared" si="57"/>
        <v>0</v>
      </c>
      <c r="G263" s="470">
        <v>2</v>
      </c>
      <c r="H263" s="458">
        <v>600</v>
      </c>
      <c r="I263" s="543">
        <f t="shared" si="58"/>
        <v>17400</v>
      </c>
      <c r="J263" s="508">
        <f t="shared" si="56"/>
        <v>17400</v>
      </c>
    </row>
    <row r="264" spans="1:11" s="55" customFormat="1" ht="15.75" thickBot="1" x14ac:dyDescent="0.25">
      <c r="A264" s="400" t="str">
        <f>+'I&amp;M'!D14</f>
        <v>3.6.1 Monitoreo de la ejecución efectiva del Plan Maestro a partir del POA 2020.</v>
      </c>
      <c r="B264" s="401"/>
      <c r="C264" s="401"/>
      <c r="D264" s="426"/>
      <c r="E264" s="459"/>
      <c r="F264" s="399">
        <f>SUM(F265:F266)</f>
        <v>0</v>
      </c>
      <c r="G264" s="471"/>
      <c r="H264" s="544"/>
      <c r="I264" s="545">
        <f>SUM(I265:I266)</f>
        <v>10110</v>
      </c>
      <c r="J264" s="509">
        <f t="shared" si="56"/>
        <v>10110</v>
      </c>
    </row>
    <row r="265" spans="1:11" s="55" customFormat="1" ht="14.1" customHeight="1" x14ac:dyDescent="0.2">
      <c r="A265" s="352" t="s">
        <v>344</v>
      </c>
      <c r="B265" s="362" t="s">
        <v>170</v>
      </c>
      <c r="C265" s="353" t="s">
        <v>94</v>
      </c>
      <c r="D265" s="411">
        <v>422</v>
      </c>
      <c r="E265" s="453">
        <v>0</v>
      </c>
      <c r="F265" s="392">
        <f t="shared" ref="F265:F266" si="59">E265*D265</f>
        <v>0</v>
      </c>
      <c r="G265" s="472">
        <v>2</v>
      </c>
      <c r="H265" s="536">
        <v>5</v>
      </c>
      <c r="I265" s="541">
        <f t="shared" ref="I265:I266" si="60">D265*H265</f>
        <v>2110</v>
      </c>
      <c r="J265" s="504">
        <f t="shared" si="56"/>
        <v>2110</v>
      </c>
    </row>
    <row r="266" spans="1:11" s="55" customFormat="1" ht="14.1" customHeight="1" thickBot="1" x14ac:dyDescent="0.25">
      <c r="A266" s="345" t="s">
        <v>345</v>
      </c>
      <c r="B266" s="386"/>
      <c r="C266" s="347" t="s">
        <v>44</v>
      </c>
      <c r="D266" s="421">
        <v>2000</v>
      </c>
      <c r="E266" s="457">
        <v>0</v>
      </c>
      <c r="F266" s="398">
        <f t="shared" si="59"/>
        <v>0</v>
      </c>
      <c r="G266" s="470">
        <v>2</v>
      </c>
      <c r="H266" s="458">
        <v>4</v>
      </c>
      <c r="I266" s="543">
        <f t="shared" si="60"/>
        <v>8000</v>
      </c>
      <c r="J266" s="508">
        <f t="shared" si="56"/>
        <v>8000</v>
      </c>
    </row>
    <row r="267" spans="1:11" s="55" customFormat="1" ht="39.950000000000003" customHeight="1" thickBot="1" x14ac:dyDescent="0.25">
      <c r="A267" s="579" t="s">
        <v>227</v>
      </c>
      <c r="B267" s="580"/>
      <c r="C267" s="580"/>
      <c r="D267" s="581"/>
      <c r="E267" s="582"/>
      <c r="F267" s="593">
        <f>F268+F451</f>
        <v>0</v>
      </c>
      <c r="G267" s="594"/>
      <c r="H267" s="595"/>
      <c r="I267" s="596">
        <f>I268+I451</f>
        <v>2680801.9473333335</v>
      </c>
      <c r="J267" s="584">
        <f t="shared" si="56"/>
        <v>2680801.9473333335</v>
      </c>
    </row>
    <row r="268" spans="1:11" ht="24" customHeight="1" thickBot="1" x14ac:dyDescent="0.25">
      <c r="A268" s="585" t="s">
        <v>129</v>
      </c>
      <c r="B268" s="585"/>
      <c r="C268" s="585"/>
      <c r="D268" s="586"/>
      <c r="E268" s="587"/>
      <c r="F268" s="588">
        <f>F270-F280-F293-F298-F303-F308-F321-F316</f>
        <v>0</v>
      </c>
      <c r="G268" s="589"/>
      <c r="H268" s="590"/>
      <c r="I268" s="591">
        <f>SUM(I270+I280+I293+I298+I303+I308+I321+I330+I344+I356+I371+I379+I386+I390+I396+I403+I408+I419+I429+I435+I443)</f>
        <v>2243166.8473333335</v>
      </c>
      <c r="J268" s="592">
        <f t="shared" si="56"/>
        <v>2243166.8473333335</v>
      </c>
      <c r="K268" s="150"/>
    </row>
    <row r="269" spans="1:11" s="54" customFormat="1" ht="45.95" customHeight="1" thickBot="1" x14ac:dyDescent="0.3">
      <c r="A269" s="945" t="s">
        <v>130</v>
      </c>
      <c r="B269" s="946"/>
      <c r="C269" s="946"/>
      <c r="D269" s="422"/>
      <c r="E269" s="452"/>
      <c r="F269" s="460"/>
      <c r="G269" s="475"/>
      <c r="H269" s="449"/>
      <c r="I269" s="402"/>
      <c r="J269" s="510"/>
    </row>
    <row r="270" spans="1:11" ht="45" customHeight="1" thickBot="1" x14ac:dyDescent="0.25">
      <c r="A270" s="904" t="str">
        <f>RRCC!D10</f>
        <v>4.1.1.1 Apoyar en la gestión de servicios de salud y educación permanentes en las comunidades del PNSL.</v>
      </c>
      <c r="B270" s="905"/>
      <c r="C270" s="905"/>
      <c r="D270" s="410"/>
      <c r="E270" s="440"/>
      <c r="F270" s="357">
        <f>SUM(F271:F279)</f>
        <v>0</v>
      </c>
      <c r="G270" s="471"/>
      <c r="H270" s="518"/>
      <c r="I270" s="351">
        <f>SUM(I271:I279)</f>
        <v>35621.597333333339</v>
      </c>
      <c r="J270" s="483">
        <f t="shared" si="56"/>
        <v>35621.597333333339</v>
      </c>
    </row>
    <row r="271" spans="1:11" ht="15" x14ac:dyDescent="0.2">
      <c r="A271" s="352" t="s">
        <v>177</v>
      </c>
      <c r="B271" s="362" t="s">
        <v>192</v>
      </c>
      <c r="C271" s="353" t="s">
        <v>94</v>
      </c>
      <c r="D271" s="411">
        <f>16718.63/30</f>
        <v>557.28766666666672</v>
      </c>
      <c r="E271" s="442">
        <v>0</v>
      </c>
      <c r="F271" s="461">
        <f t="shared" ref="F271:F279" si="61">E271*D271</f>
        <v>0</v>
      </c>
      <c r="G271" s="472">
        <v>2</v>
      </c>
      <c r="H271" s="442">
        <v>2</v>
      </c>
      <c r="I271" s="372">
        <f t="shared" ref="I271:I279" si="62">D271*H271</f>
        <v>1114.5753333333334</v>
      </c>
      <c r="J271" s="480">
        <f t="shared" si="56"/>
        <v>1114.5753333333334</v>
      </c>
    </row>
    <row r="272" spans="1:11" ht="15" x14ac:dyDescent="0.2">
      <c r="A272" s="338" t="s">
        <v>215</v>
      </c>
      <c r="B272" s="291">
        <v>11</v>
      </c>
      <c r="C272" s="291" t="s">
        <v>94</v>
      </c>
      <c r="D272" s="324">
        <f>8420.22/30</f>
        <v>280.67399999999998</v>
      </c>
      <c r="E272" s="303">
        <v>0</v>
      </c>
      <c r="F272" s="310">
        <f t="shared" si="61"/>
        <v>0</v>
      </c>
      <c r="G272" s="322">
        <v>2</v>
      </c>
      <c r="H272" s="303">
        <v>3</v>
      </c>
      <c r="I272" s="312">
        <f t="shared" si="62"/>
        <v>842.02199999999993</v>
      </c>
      <c r="J272" s="496">
        <f t="shared" si="56"/>
        <v>842.02199999999993</v>
      </c>
    </row>
    <row r="273" spans="1:10" ht="15" x14ac:dyDescent="0.2">
      <c r="A273" s="338" t="s">
        <v>186</v>
      </c>
      <c r="B273" s="291">
        <v>29</v>
      </c>
      <c r="C273" s="291" t="s">
        <v>94</v>
      </c>
      <c r="D273" s="324">
        <f>8000/30</f>
        <v>266.66666666666669</v>
      </c>
      <c r="E273" s="303">
        <v>0</v>
      </c>
      <c r="F273" s="310">
        <f t="shared" si="61"/>
        <v>0</v>
      </c>
      <c r="G273" s="322">
        <v>2</v>
      </c>
      <c r="H273" s="303">
        <v>15</v>
      </c>
      <c r="I273" s="312">
        <f t="shared" si="62"/>
        <v>4000.0000000000005</v>
      </c>
      <c r="J273" s="496">
        <f t="shared" si="56"/>
        <v>4000.0000000000005</v>
      </c>
    </row>
    <row r="274" spans="1:10" ht="15" x14ac:dyDescent="0.2">
      <c r="A274" s="338" t="s">
        <v>216</v>
      </c>
      <c r="B274" s="291">
        <v>29</v>
      </c>
      <c r="C274" s="291" t="s">
        <v>94</v>
      </c>
      <c r="D274" s="324">
        <f>3150/30</f>
        <v>105</v>
      </c>
      <c r="E274" s="303">
        <v>0</v>
      </c>
      <c r="F274" s="310">
        <f t="shared" si="61"/>
        <v>0</v>
      </c>
      <c r="G274" s="322">
        <v>2</v>
      </c>
      <c r="H274" s="303">
        <v>5</v>
      </c>
      <c r="I274" s="312">
        <f t="shared" si="62"/>
        <v>525</v>
      </c>
      <c r="J274" s="496">
        <f t="shared" si="56"/>
        <v>525</v>
      </c>
    </row>
    <row r="275" spans="1:10" ht="15" x14ac:dyDescent="0.2">
      <c r="A275" s="337" t="s">
        <v>203</v>
      </c>
      <c r="B275" s="291">
        <v>211</v>
      </c>
      <c r="C275" s="291" t="s">
        <v>44</v>
      </c>
      <c r="D275" s="321">
        <v>70</v>
      </c>
      <c r="E275" s="300">
        <v>0</v>
      </c>
      <c r="F275" s="310">
        <f t="shared" si="61"/>
        <v>0</v>
      </c>
      <c r="G275" s="322">
        <v>2</v>
      </c>
      <c r="H275" s="303">
        <v>72</v>
      </c>
      <c r="I275" s="312">
        <f t="shared" si="62"/>
        <v>5040</v>
      </c>
      <c r="J275" s="496">
        <f t="shared" si="56"/>
        <v>5040</v>
      </c>
    </row>
    <row r="276" spans="1:10" s="55" customFormat="1" ht="14.25" customHeight="1" x14ac:dyDescent="0.2">
      <c r="A276" s="337" t="s">
        <v>121</v>
      </c>
      <c r="B276" s="291">
        <v>262</v>
      </c>
      <c r="C276" s="291" t="s">
        <v>61</v>
      </c>
      <c r="D276" s="321">
        <v>35</v>
      </c>
      <c r="E276" s="300">
        <v>0</v>
      </c>
      <c r="F276" s="310">
        <f t="shared" si="61"/>
        <v>0</v>
      </c>
      <c r="G276" s="322">
        <v>2</v>
      </c>
      <c r="H276" s="300">
        <v>360</v>
      </c>
      <c r="I276" s="312">
        <f t="shared" si="62"/>
        <v>12600</v>
      </c>
      <c r="J276" s="496">
        <f t="shared" si="56"/>
        <v>12600</v>
      </c>
    </row>
    <row r="277" spans="1:10" s="55" customFormat="1" ht="14.25" customHeight="1" x14ac:dyDescent="0.2">
      <c r="A277" s="337" t="s">
        <v>65</v>
      </c>
      <c r="B277" s="291">
        <v>241</v>
      </c>
      <c r="C277" s="291" t="s">
        <v>49</v>
      </c>
      <c r="D277" s="321">
        <v>50</v>
      </c>
      <c r="E277" s="300">
        <v>0</v>
      </c>
      <c r="F277" s="310">
        <f t="shared" si="61"/>
        <v>0</v>
      </c>
      <c r="G277" s="322">
        <v>2</v>
      </c>
      <c r="H277" s="300">
        <v>1</v>
      </c>
      <c r="I277" s="312">
        <f t="shared" si="62"/>
        <v>50</v>
      </c>
      <c r="J277" s="496">
        <f t="shared" si="56"/>
        <v>50</v>
      </c>
    </row>
    <row r="278" spans="1:10" s="54" customFormat="1" ht="15" x14ac:dyDescent="0.2">
      <c r="A278" s="337" t="s">
        <v>204</v>
      </c>
      <c r="B278" s="291">
        <v>267</v>
      </c>
      <c r="C278" s="291" t="s">
        <v>44</v>
      </c>
      <c r="D278" s="321">
        <v>450</v>
      </c>
      <c r="E278" s="300">
        <v>0</v>
      </c>
      <c r="F278" s="310">
        <f t="shared" si="61"/>
        <v>0</v>
      </c>
      <c r="G278" s="322">
        <v>2</v>
      </c>
      <c r="H278" s="300">
        <v>1</v>
      </c>
      <c r="I278" s="312">
        <f t="shared" si="62"/>
        <v>450</v>
      </c>
      <c r="J278" s="496">
        <f t="shared" si="56"/>
        <v>450</v>
      </c>
    </row>
    <row r="279" spans="1:10" s="54" customFormat="1" ht="15.75" thickBot="1" x14ac:dyDescent="0.25">
      <c r="A279" s="345" t="s">
        <v>84</v>
      </c>
      <c r="B279" s="347">
        <v>165</v>
      </c>
      <c r="C279" s="347" t="s">
        <v>44</v>
      </c>
      <c r="D279" s="409">
        <v>5500</v>
      </c>
      <c r="E279" s="439">
        <v>0</v>
      </c>
      <c r="F279" s="462">
        <f t="shared" si="61"/>
        <v>0</v>
      </c>
      <c r="G279" s="470">
        <v>2</v>
      </c>
      <c r="H279" s="439">
        <v>2</v>
      </c>
      <c r="I279" s="373">
        <f t="shared" si="62"/>
        <v>11000</v>
      </c>
      <c r="J279" s="497">
        <f t="shared" si="56"/>
        <v>11000</v>
      </c>
    </row>
    <row r="280" spans="1:10" ht="33" customHeight="1" thickBot="1" x14ac:dyDescent="0.25">
      <c r="A280" s="904" t="str">
        <f>RRCC!D11</f>
        <v>4.1.2.1 6 Talleres de capacitación a 10 Comunidades sobre Ley de Consejos de Desarrollo, Saneamiento ambiental, Legislación Ambiental y patrimonio cultural, Código Municipal, Resolución de conflictos, PAH, entre otros, en el marco de las instancias de diálogo.</v>
      </c>
      <c r="B280" s="905"/>
      <c r="C280" s="905"/>
      <c r="D280" s="410"/>
      <c r="E280" s="440"/>
      <c r="F280" s="357">
        <f>SUM(F281:F292)</f>
        <v>0</v>
      </c>
      <c r="G280" s="471"/>
      <c r="H280" s="518"/>
      <c r="I280" s="351">
        <f>SUM(I281:I292)</f>
        <v>79906</v>
      </c>
      <c r="J280" s="483">
        <f t="shared" si="56"/>
        <v>79906</v>
      </c>
    </row>
    <row r="281" spans="1:10" s="55" customFormat="1" ht="15" x14ac:dyDescent="0.2">
      <c r="A281" s="352" t="s">
        <v>164</v>
      </c>
      <c r="B281" s="353">
        <v>11</v>
      </c>
      <c r="C281" s="353" t="s">
        <v>94</v>
      </c>
      <c r="D281" s="427">
        <v>557</v>
      </c>
      <c r="E281" s="441">
        <v>0</v>
      </c>
      <c r="F281" s="361">
        <f t="shared" ref="F281:F292" si="63">E281*D281</f>
        <v>0</v>
      </c>
      <c r="G281" s="472">
        <v>2</v>
      </c>
      <c r="H281" s="441">
        <v>12</v>
      </c>
      <c r="I281" s="461">
        <f t="shared" ref="I281:I292" si="64">D281*H281</f>
        <v>6684</v>
      </c>
      <c r="J281" s="485">
        <f t="shared" si="56"/>
        <v>6684</v>
      </c>
    </row>
    <row r="282" spans="1:10" s="55" customFormat="1" ht="15" x14ac:dyDescent="0.2">
      <c r="A282" s="337" t="s">
        <v>198</v>
      </c>
      <c r="B282" s="318" t="s">
        <v>171</v>
      </c>
      <c r="C282" s="291" t="s">
        <v>94</v>
      </c>
      <c r="D282" s="428">
        <v>185</v>
      </c>
      <c r="E282" s="300">
        <v>0</v>
      </c>
      <c r="F282" s="301">
        <f t="shared" si="63"/>
        <v>0</v>
      </c>
      <c r="G282" s="322">
        <v>2</v>
      </c>
      <c r="H282" s="300">
        <v>10</v>
      </c>
      <c r="I282" s="310">
        <f t="shared" si="64"/>
        <v>1850</v>
      </c>
      <c r="J282" s="486">
        <f t="shared" si="56"/>
        <v>1850</v>
      </c>
    </row>
    <row r="283" spans="1:10" s="55" customFormat="1" ht="15" x14ac:dyDescent="0.2">
      <c r="A283" s="338" t="s">
        <v>215</v>
      </c>
      <c r="B283" s="291">
        <v>29</v>
      </c>
      <c r="C283" s="291" t="s">
        <v>94</v>
      </c>
      <c r="D283" s="429">
        <v>281</v>
      </c>
      <c r="E283" s="300">
        <v>0</v>
      </c>
      <c r="F283" s="301">
        <f t="shared" si="63"/>
        <v>0</v>
      </c>
      <c r="G283" s="322">
        <v>2</v>
      </c>
      <c r="H283" s="300">
        <v>12</v>
      </c>
      <c r="I283" s="310">
        <f t="shared" si="64"/>
        <v>3372</v>
      </c>
      <c r="J283" s="486">
        <f t="shared" si="56"/>
        <v>3372</v>
      </c>
    </row>
    <row r="284" spans="1:10" s="55" customFormat="1" ht="15" x14ac:dyDescent="0.2">
      <c r="A284" s="338" t="s">
        <v>216</v>
      </c>
      <c r="B284" s="291">
        <v>29</v>
      </c>
      <c r="C284" s="291" t="s">
        <v>94</v>
      </c>
      <c r="D284" s="429">
        <f>3150/30</f>
        <v>105</v>
      </c>
      <c r="E284" s="303">
        <v>0</v>
      </c>
      <c r="F284" s="301">
        <f t="shared" si="63"/>
        <v>0</v>
      </c>
      <c r="G284" s="322">
        <v>2</v>
      </c>
      <c r="H284" s="300">
        <v>15</v>
      </c>
      <c r="I284" s="310">
        <f t="shared" si="64"/>
        <v>1575</v>
      </c>
      <c r="J284" s="486">
        <f t="shared" si="56"/>
        <v>1575</v>
      </c>
    </row>
    <row r="285" spans="1:10" s="55" customFormat="1" ht="15" x14ac:dyDescent="0.2">
      <c r="A285" s="338" t="s">
        <v>186</v>
      </c>
      <c r="B285" s="291">
        <v>29</v>
      </c>
      <c r="C285" s="291" t="s">
        <v>94</v>
      </c>
      <c r="D285" s="429">
        <f>8000/30</f>
        <v>266.66666666666669</v>
      </c>
      <c r="E285" s="303">
        <v>0</v>
      </c>
      <c r="F285" s="301">
        <f t="shared" si="63"/>
        <v>0</v>
      </c>
      <c r="G285" s="322">
        <v>2</v>
      </c>
      <c r="H285" s="300">
        <v>90</v>
      </c>
      <c r="I285" s="310">
        <f t="shared" si="64"/>
        <v>24000</v>
      </c>
      <c r="J285" s="486">
        <f t="shared" si="56"/>
        <v>24000</v>
      </c>
    </row>
    <row r="286" spans="1:10" s="55" customFormat="1" ht="15" x14ac:dyDescent="0.2">
      <c r="A286" s="337" t="s">
        <v>121</v>
      </c>
      <c r="B286" s="291">
        <v>262</v>
      </c>
      <c r="C286" s="291" t="s">
        <v>61</v>
      </c>
      <c r="D286" s="428">
        <v>35</v>
      </c>
      <c r="E286" s="300">
        <v>0</v>
      </c>
      <c r="F286" s="301">
        <f t="shared" si="63"/>
        <v>0</v>
      </c>
      <c r="G286" s="322">
        <v>2</v>
      </c>
      <c r="H286" s="300">
        <f>(10*2)*5</f>
        <v>100</v>
      </c>
      <c r="I286" s="310">
        <f t="shared" si="64"/>
        <v>3500</v>
      </c>
      <c r="J286" s="486">
        <f t="shared" si="56"/>
        <v>3500</v>
      </c>
    </row>
    <row r="287" spans="1:10" s="55" customFormat="1" ht="13.5" customHeight="1" x14ac:dyDescent="0.2">
      <c r="A287" s="337" t="s">
        <v>203</v>
      </c>
      <c r="B287" s="291">
        <v>211</v>
      </c>
      <c r="C287" s="291" t="s">
        <v>44</v>
      </c>
      <c r="D287" s="428">
        <v>110</v>
      </c>
      <c r="E287" s="300">
        <v>0</v>
      </c>
      <c r="F287" s="301">
        <f t="shared" si="63"/>
        <v>0</v>
      </c>
      <c r="G287" s="322">
        <v>2</v>
      </c>
      <c r="H287" s="300">
        <f>25*6*2</f>
        <v>300</v>
      </c>
      <c r="I287" s="310">
        <f t="shared" si="64"/>
        <v>33000</v>
      </c>
      <c r="J287" s="486">
        <f t="shared" si="56"/>
        <v>33000</v>
      </c>
    </row>
    <row r="288" spans="1:10" s="55" customFormat="1" ht="13.5" customHeight="1" x14ac:dyDescent="0.2">
      <c r="A288" s="337" t="s">
        <v>84</v>
      </c>
      <c r="B288" s="291">
        <v>165</v>
      </c>
      <c r="C288" s="291" t="s">
        <v>44</v>
      </c>
      <c r="D288" s="428">
        <v>5500</v>
      </c>
      <c r="E288" s="300">
        <v>0</v>
      </c>
      <c r="F288" s="301">
        <f t="shared" si="63"/>
        <v>0</v>
      </c>
      <c r="G288" s="322">
        <v>2</v>
      </c>
      <c r="H288" s="300">
        <v>1</v>
      </c>
      <c r="I288" s="310">
        <f t="shared" si="64"/>
        <v>5500</v>
      </c>
      <c r="J288" s="486">
        <f t="shared" si="56"/>
        <v>5500</v>
      </c>
    </row>
    <row r="289" spans="1:10" s="55" customFormat="1" ht="13.5" customHeight="1" x14ac:dyDescent="0.2">
      <c r="A289" s="337" t="s">
        <v>157</v>
      </c>
      <c r="B289" s="291">
        <v>291</v>
      </c>
      <c r="C289" s="291" t="s">
        <v>44</v>
      </c>
      <c r="D289" s="428">
        <v>60</v>
      </c>
      <c r="E289" s="300">
        <v>0</v>
      </c>
      <c r="F289" s="301">
        <f t="shared" si="63"/>
        <v>0</v>
      </c>
      <c r="G289" s="322">
        <v>2</v>
      </c>
      <c r="H289" s="300">
        <v>4</v>
      </c>
      <c r="I289" s="310">
        <f t="shared" si="64"/>
        <v>240</v>
      </c>
      <c r="J289" s="486">
        <f t="shared" si="56"/>
        <v>240</v>
      </c>
    </row>
    <row r="290" spans="1:10" s="55" customFormat="1" ht="13.5" customHeight="1" x14ac:dyDescent="0.2">
      <c r="A290" s="337" t="s">
        <v>65</v>
      </c>
      <c r="B290" s="291">
        <v>241</v>
      </c>
      <c r="C290" s="291" t="s">
        <v>49</v>
      </c>
      <c r="D290" s="428">
        <v>50</v>
      </c>
      <c r="E290" s="300">
        <v>0</v>
      </c>
      <c r="F290" s="301">
        <f t="shared" si="63"/>
        <v>0</v>
      </c>
      <c r="G290" s="322">
        <v>2</v>
      </c>
      <c r="H290" s="300">
        <v>2</v>
      </c>
      <c r="I290" s="310">
        <f t="shared" si="64"/>
        <v>100</v>
      </c>
      <c r="J290" s="486">
        <f t="shared" si="56"/>
        <v>100</v>
      </c>
    </row>
    <row r="291" spans="1:10" s="55" customFormat="1" ht="13.5" customHeight="1" x14ac:dyDescent="0.2">
      <c r="A291" s="337" t="s">
        <v>156</v>
      </c>
      <c r="B291" s="291">
        <v>122</v>
      </c>
      <c r="C291" s="291" t="s">
        <v>44</v>
      </c>
      <c r="D291" s="428">
        <v>0.5</v>
      </c>
      <c r="E291" s="300">
        <v>0</v>
      </c>
      <c r="F291" s="301">
        <f t="shared" si="63"/>
        <v>0</v>
      </c>
      <c r="G291" s="322">
        <v>2</v>
      </c>
      <c r="H291" s="300">
        <v>50</v>
      </c>
      <c r="I291" s="310">
        <f t="shared" si="64"/>
        <v>25</v>
      </c>
      <c r="J291" s="486">
        <f t="shared" si="56"/>
        <v>25</v>
      </c>
    </row>
    <row r="292" spans="1:10" ht="13.5" customHeight="1" thickBot="1" x14ac:dyDescent="0.25">
      <c r="A292" s="345" t="s">
        <v>218</v>
      </c>
      <c r="B292" s="347">
        <v>292</v>
      </c>
      <c r="C292" s="347" t="s">
        <v>44</v>
      </c>
      <c r="D292" s="430">
        <v>20</v>
      </c>
      <c r="E292" s="439">
        <v>0</v>
      </c>
      <c r="F292" s="355">
        <f t="shared" si="63"/>
        <v>0</v>
      </c>
      <c r="G292" s="470">
        <v>2</v>
      </c>
      <c r="H292" s="439">
        <v>3</v>
      </c>
      <c r="I292" s="462">
        <f t="shared" si="64"/>
        <v>60</v>
      </c>
      <c r="J292" s="487">
        <f t="shared" si="56"/>
        <v>60</v>
      </c>
    </row>
    <row r="293" spans="1:10" ht="16.5" thickBot="1" x14ac:dyDescent="0.3">
      <c r="A293" s="403" t="str">
        <f>+RRCC!D12</f>
        <v>4.1.2.2 Identificacion y Formacion de 20 multiplicadores juveniles en temas de salud sexual y reproductiva.</v>
      </c>
      <c r="B293" s="404"/>
      <c r="C293" s="404"/>
      <c r="D293" s="431"/>
      <c r="E293" s="437"/>
      <c r="F293" s="560">
        <f>SUM(F294:F297)</f>
        <v>0</v>
      </c>
      <c r="G293" s="556"/>
      <c r="H293" s="561"/>
      <c r="I293" s="519">
        <f>SUM(I294:I297)</f>
        <v>39950</v>
      </c>
      <c r="J293" s="488">
        <f t="shared" si="56"/>
        <v>39950</v>
      </c>
    </row>
    <row r="294" spans="1:10" ht="15" x14ac:dyDescent="0.2">
      <c r="A294" s="352" t="s">
        <v>346</v>
      </c>
      <c r="B294" s="353">
        <v>11</v>
      </c>
      <c r="C294" s="353" t="s">
        <v>128</v>
      </c>
      <c r="D294" s="427">
        <v>450</v>
      </c>
      <c r="E294" s="441"/>
      <c r="F294" s="361">
        <f t="shared" ref="F294:F297" si="65">E294*D294</f>
        <v>0</v>
      </c>
      <c r="G294" s="472">
        <v>2</v>
      </c>
      <c r="H294" s="441">
        <v>21</v>
      </c>
      <c r="I294" s="461">
        <f t="shared" ref="I294:I297" si="66">D294*H294</f>
        <v>9450</v>
      </c>
      <c r="J294" s="485">
        <f t="shared" si="56"/>
        <v>9450</v>
      </c>
    </row>
    <row r="295" spans="1:10" ht="13.5" customHeight="1" x14ac:dyDescent="0.2">
      <c r="A295" s="337" t="s">
        <v>345</v>
      </c>
      <c r="B295" s="291"/>
      <c r="C295" s="291" t="s">
        <v>44</v>
      </c>
      <c r="D295" s="428">
        <v>3000</v>
      </c>
      <c r="E295" s="300"/>
      <c r="F295" s="301">
        <f t="shared" si="65"/>
        <v>0</v>
      </c>
      <c r="G295" s="322">
        <v>2</v>
      </c>
      <c r="H295" s="300">
        <v>6</v>
      </c>
      <c r="I295" s="310">
        <f t="shared" si="66"/>
        <v>18000</v>
      </c>
      <c r="J295" s="486">
        <f t="shared" si="56"/>
        <v>18000</v>
      </c>
    </row>
    <row r="296" spans="1:10" ht="13.5" customHeight="1" x14ac:dyDescent="0.2">
      <c r="A296" s="337" t="s">
        <v>121</v>
      </c>
      <c r="B296" s="291">
        <v>262</v>
      </c>
      <c r="C296" s="291" t="s">
        <v>61</v>
      </c>
      <c r="D296" s="428">
        <v>35</v>
      </c>
      <c r="E296" s="300">
        <v>0</v>
      </c>
      <c r="F296" s="301">
        <f t="shared" si="65"/>
        <v>0</v>
      </c>
      <c r="G296" s="322">
        <v>2</v>
      </c>
      <c r="H296" s="300">
        <f>(10*2)*5</f>
        <v>100</v>
      </c>
      <c r="I296" s="310">
        <f t="shared" si="66"/>
        <v>3500</v>
      </c>
      <c r="J296" s="486">
        <f t="shared" si="56"/>
        <v>3500</v>
      </c>
    </row>
    <row r="297" spans="1:10" ht="13.5" customHeight="1" thickBot="1" x14ac:dyDescent="0.25">
      <c r="A297" s="337" t="s">
        <v>203</v>
      </c>
      <c r="B297" s="291">
        <v>211</v>
      </c>
      <c r="C297" s="291" t="s">
        <v>44</v>
      </c>
      <c r="D297" s="428">
        <v>30</v>
      </c>
      <c r="E297" s="300">
        <v>0</v>
      </c>
      <c r="F297" s="301">
        <f t="shared" si="65"/>
        <v>0</v>
      </c>
      <c r="G297" s="322">
        <v>2</v>
      </c>
      <c r="H297" s="300">
        <f>25*6*2</f>
        <v>300</v>
      </c>
      <c r="I297" s="462">
        <f t="shared" si="66"/>
        <v>9000</v>
      </c>
      <c r="J297" s="487">
        <f t="shared" si="56"/>
        <v>9000</v>
      </c>
    </row>
    <row r="298" spans="1:10" ht="16.5" thickBot="1" x14ac:dyDescent="0.3">
      <c r="A298" s="403" t="str">
        <f>+RRCC!D13</f>
        <v>4.1.2.3 Identificacion y formacion de 12 promotores distribuidores de metodos de planificacion familiar.</v>
      </c>
      <c r="B298" s="404"/>
      <c r="C298" s="404"/>
      <c r="D298" s="431"/>
      <c r="E298" s="403"/>
      <c r="F298" s="560">
        <f>SUM(F299:F302)</f>
        <v>0</v>
      </c>
      <c r="G298" s="556"/>
      <c r="H298" s="561"/>
      <c r="I298" s="519">
        <f>SUM(I299:I302)</f>
        <v>39950</v>
      </c>
      <c r="J298" s="488">
        <f t="shared" si="56"/>
        <v>39950</v>
      </c>
    </row>
    <row r="299" spans="1:10" ht="15" x14ac:dyDescent="0.2">
      <c r="A299" s="352" t="s">
        <v>346</v>
      </c>
      <c r="B299" s="353">
        <v>11</v>
      </c>
      <c r="C299" s="353" t="s">
        <v>128</v>
      </c>
      <c r="D299" s="427">
        <v>450</v>
      </c>
      <c r="E299" s="441"/>
      <c r="F299" s="361">
        <f t="shared" ref="F299:F302" si="67">E299*D299</f>
        <v>0</v>
      </c>
      <c r="G299" s="472">
        <v>2</v>
      </c>
      <c r="H299" s="441">
        <v>21</v>
      </c>
      <c r="I299" s="461">
        <f t="shared" ref="I299:I302" si="68">D299*H299</f>
        <v>9450</v>
      </c>
      <c r="J299" s="485">
        <f t="shared" ref="J299:J302" si="69">F299+I299</f>
        <v>9450</v>
      </c>
    </row>
    <row r="300" spans="1:10" ht="15" x14ac:dyDescent="0.2">
      <c r="A300" s="337" t="s">
        <v>345</v>
      </c>
      <c r="B300" s="291"/>
      <c r="C300" s="291" t="s">
        <v>44</v>
      </c>
      <c r="D300" s="428">
        <v>3000</v>
      </c>
      <c r="E300" s="300"/>
      <c r="F300" s="301">
        <f t="shared" si="67"/>
        <v>0</v>
      </c>
      <c r="G300" s="322">
        <v>2</v>
      </c>
      <c r="H300" s="300">
        <v>6</v>
      </c>
      <c r="I300" s="310">
        <f t="shared" si="68"/>
        <v>18000</v>
      </c>
      <c r="J300" s="486">
        <f t="shared" si="69"/>
        <v>18000</v>
      </c>
    </row>
    <row r="301" spans="1:10" ht="15" x14ac:dyDescent="0.2">
      <c r="A301" s="337" t="s">
        <v>121</v>
      </c>
      <c r="B301" s="291">
        <v>262</v>
      </c>
      <c r="C301" s="291" t="s">
        <v>61</v>
      </c>
      <c r="D301" s="428">
        <v>35</v>
      </c>
      <c r="E301" s="300">
        <v>0</v>
      </c>
      <c r="F301" s="301">
        <f t="shared" si="67"/>
        <v>0</v>
      </c>
      <c r="G301" s="322">
        <v>2</v>
      </c>
      <c r="H301" s="300">
        <f>(10*2)*5</f>
        <v>100</v>
      </c>
      <c r="I301" s="310">
        <f t="shared" si="68"/>
        <v>3500</v>
      </c>
      <c r="J301" s="486">
        <f t="shared" si="69"/>
        <v>3500</v>
      </c>
    </row>
    <row r="302" spans="1:10" ht="15.75" thickBot="1" x14ac:dyDescent="0.25">
      <c r="A302" s="337" t="s">
        <v>203</v>
      </c>
      <c r="B302" s="291">
        <v>211</v>
      </c>
      <c r="C302" s="291" t="s">
        <v>44</v>
      </c>
      <c r="D302" s="428">
        <v>30</v>
      </c>
      <c r="E302" s="300">
        <v>0</v>
      </c>
      <c r="F302" s="301">
        <f t="shared" si="67"/>
        <v>0</v>
      </c>
      <c r="G302" s="322">
        <v>2</v>
      </c>
      <c r="H302" s="300">
        <f>25*6*2</f>
        <v>300</v>
      </c>
      <c r="I302" s="462">
        <f t="shared" si="68"/>
        <v>9000</v>
      </c>
      <c r="J302" s="487">
        <f t="shared" si="69"/>
        <v>9000</v>
      </c>
    </row>
    <row r="303" spans="1:10" ht="27" customHeight="1" thickBot="1" x14ac:dyDescent="0.25">
      <c r="A303" s="951" t="str">
        <f>RRCC!D14</f>
        <v>4.1.2.4 Acompañamiento a los 10 COCODES de las comunidades del PNSL en la gestión de proyectos de desarrollo sostenible.</v>
      </c>
      <c r="B303" s="952"/>
      <c r="C303" s="952"/>
      <c r="D303" s="564"/>
      <c r="E303" s="565"/>
      <c r="F303" s="566">
        <f>SUM(F304:F307)</f>
        <v>0</v>
      </c>
      <c r="G303" s="567"/>
      <c r="H303" s="568"/>
      <c r="I303" s="569">
        <f>SUM(I304:I307)</f>
        <v>13342</v>
      </c>
      <c r="J303" s="570">
        <f t="shared" si="56"/>
        <v>13342</v>
      </c>
    </row>
    <row r="304" spans="1:10" ht="15" x14ac:dyDescent="0.2">
      <c r="A304" s="352" t="s">
        <v>34</v>
      </c>
      <c r="B304" s="353">
        <v>11</v>
      </c>
      <c r="C304" s="353" t="s">
        <v>94</v>
      </c>
      <c r="D304" s="427">
        <v>715</v>
      </c>
      <c r="E304" s="441">
        <v>0</v>
      </c>
      <c r="F304" s="361">
        <f t="shared" ref="F304:F307" si="70">E304*D304</f>
        <v>0</v>
      </c>
      <c r="G304" s="472">
        <v>2</v>
      </c>
      <c r="H304" s="441">
        <v>2</v>
      </c>
      <c r="I304" s="461">
        <f t="shared" ref="I304:I307" si="71">D304*H304</f>
        <v>1430</v>
      </c>
      <c r="J304" s="485">
        <f t="shared" si="56"/>
        <v>1430</v>
      </c>
    </row>
    <row r="305" spans="1:12" ht="15" x14ac:dyDescent="0.2">
      <c r="A305" s="337" t="s">
        <v>164</v>
      </c>
      <c r="B305" s="318" t="s">
        <v>192</v>
      </c>
      <c r="C305" s="291" t="s">
        <v>94</v>
      </c>
      <c r="D305" s="428">
        <v>557</v>
      </c>
      <c r="E305" s="300">
        <v>0</v>
      </c>
      <c r="F305" s="301">
        <f t="shared" si="70"/>
        <v>0</v>
      </c>
      <c r="G305" s="322">
        <v>2</v>
      </c>
      <c r="H305" s="300">
        <f>2*4</f>
        <v>8</v>
      </c>
      <c r="I305" s="310">
        <f t="shared" si="71"/>
        <v>4456</v>
      </c>
      <c r="J305" s="486">
        <f t="shared" si="56"/>
        <v>4456</v>
      </c>
    </row>
    <row r="306" spans="1:12" s="55" customFormat="1" ht="15" x14ac:dyDescent="0.2">
      <c r="A306" s="337" t="s">
        <v>198</v>
      </c>
      <c r="B306" s="318" t="s">
        <v>171</v>
      </c>
      <c r="C306" s="291" t="s">
        <v>94</v>
      </c>
      <c r="D306" s="428">
        <v>185</v>
      </c>
      <c r="E306" s="300">
        <v>0</v>
      </c>
      <c r="F306" s="301">
        <f t="shared" si="70"/>
        <v>0</v>
      </c>
      <c r="G306" s="322">
        <v>2</v>
      </c>
      <c r="H306" s="300">
        <f>2*8</f>
        <v>16</v>
      </c>
      <c r="I306" s="310">
        <f t="shared" si="71"/>
        <v>2960</v>
      </c>
      <c r="J306" s="486">
        <f t="shared" si="56"/>
        <v>2960</v>
      </c>
      <c r="K306" s="84"/>
      <c r="L306" s="84"/>
    </row>
    <row r="307" spans="1:12" s="55" customFormat="1" ht="15.75" thickBot="1" x14ac:dyDescent="0.25">
      <c r="A307" s="345" t="s">
        <v>184</v>
      </c>
      <c r="B307" s="347">
        <v>29</v>
      </c>
      <c r="C307" s="347" t="s">
        <v>94</v>
      </c>
      <c r="D307" s="430">
        <v>281</v>
      </c>
      <c r="E307" s="439">
        <v>0</v>
      </c>
      <c r="F307" s="355">
        <f t="shared" si="70"/>
        <v>0</v>
      </c>
      <c r="G307" s="470">
        <v>2</v>
      </c>
      <c r="H307" s="439">
        <f>2*8</f>
        <v>16</v>
      </c>
      <c r="I307" s="462">
        <f t="shared" si="71"/>
        <v>4496</v>
      </c>
      <c r="J307" s="487">
        <f t="shared" ref="J307:J356" si="72">F307+I307</f>
        <v>4496</v>
      </c>
      <c r="K307" s="84"/>
      <c r="L307" s="84"/>
    </row>
    <row r="308" spans="1:12" s="55" customFormat="1" ht="15.75" thickBot="1" x14ac:dyDescent="0.25">
      <c r="A308" s="955" t="str">
        <f>RRCC!D15</f>
        <v>4.1.2.5 Fortalecimiento de grupos de jovenes conformados en PNSL</v>
      </c>
      <c r="B308" s="956"/>
      <c r="C308" s="956"/>
      <c r="D308" s="634"/>
      <c r="E308" s="635"/>
      <c r="F308" s="636">
        <f>SUM(F309:F320)</f>
        <v>0</v>
      </c>
      <c r="G308" s="637">
        <v>2</v>
      </c>
      <c r="H308" s="635"/>
      <c r="I308" s="638">
        <f>SUM(I309:I320)</f>
        <v>144792</v>
      </c>
      <c r="J308" s="639">
        <f t="shared" si="72"/>
        <v>144792</v>
      </c>
      <c r="K308" s="84"/>
      <c r="L308" s="84"/>
    </row>
    <row r="309" spans="1:12" s="55" customFormat="1" ht="15" x14ac:dyDescent="0.2">
      <c r="A309" s="369" t="s">
        <v>164</v>
      </c>
      <c r="B309" s="350">
        <v>11</v>
      </c>
      <c r="C309" s="350" t="s">
        <v>94</v>
      </c>
      <c r="D309" s="550">
        <v>557</v>
      </c>
      <c r="E309" s="463">
        <v>0</v>
      </c>
      <c r="F309" s="356">
        <f t="shared" ref="F309:F319" si="73">E309*D309</f>
        <v>0</v>
      </c>
      <c r="G309" s="476">
        <v>2</v>
      </c>
      <c r="H309" s="300">
        <f>365*0.4</f>
        <v>146</v>
      </c>
      <c r="I309" s="539">
        <f t="shared" ref="I309:I320" si="74">D309*H309</f>
        <v>81322</v>
      </c>
      <c r="J309" s="511">
        <f t="shared" ref="J309:J320" si="75">F309+I309</f>
        <v>81322</v>
      </c>
      <c r="K309" s="84"/>
      <c r="L309" s="84"/>
    </row>
    <row r="310" spans="1:12" s="55" customFormat="1" ht="15" x14ac:dyDescent="0.2">
      <c r="A310" s="337" t="s">
        <v>356</v>
      </c>
      <c r="B310" s="291">
        <v>29</v>
      </c>
      <c r="C310" s="291" t="s">
        <v>128</v>
      </c>
      <c r="D310" s="321">
        <v>385</v>
      </c>
      <c r="E310" s="300">
        <v>0</v>
      </c>
      <c r="F310" s="301">
        <f t="shared" si="73"/>
        <v>0</v>
      </c>
      <c r="G310" s="322">
        <v>2</v>
      </c>
      <c r="H310" s="300">
        <v>45</v>
      </c>
      <c r="I310" s="310">
        <f t="shared" si="74"/>
        <v>17325</v>
      </c>
      <c r="J310" s="486">
        <f t="shared" si="75"/>
        <v>17325</v>
      </c>
      <c r="K310" s="84"/>
      <c r="L310" s="84"/>
    </row>
    <row r="311" spans="1:12" s="55" customFormat="1" ht="15" x14ac:dyDescent="0.2">
      <c r="A311" s="337" t="s">
        <v>121</v>
      </c>
      <c r="B311" s="291">
        <v>262</v>
      </c>
      <c r="C311" s="291" t="s">
        <v>61</v>
      </c>
      <c r="D311" s="321">
        <v>35</v>
      </c>
      <c r="E311" s="300">
        <v>0</v>
      </c>
      <c r="F311" s="301">
        <f t="shared" si="73"/>
        <v>0</v>
      </c>
      <c r="G311" s="322">
        <v>2</v>
      </c>
      <c r="H311" s="300">
        <v>150</v>
      </c>
      <c r="I311" s="310">
        <f t="shared" si="74"/>
        <v>5250</v>
      </c>
      <c r="J311" s="486">
        <f t="shared" si="75"/>
        <v>5250</v>
      </c>
      <c r="K311" s="84"/>
      <c r="L311" s="84"/>
    </row>
    <row r="312" spans="1:12" s="55" customFormat="1" ht="15" x14ac:dyDescent="0.2">
      <c r="A312" s="337" t="s">
        <v>203</v>
      </c>
      <c r="B312" s="291">
        <v>211</v>
      </c>
      <c r="C312" s="291" t="s">
        <v>44</v>
      </c>
      <c r="D312" s="321">
        <v>50</v>
      </c>
      <c r="E312" s="300">
        <v>0</v>
      </c>
      <c r="F312" s="301">
        <f t="shared" si="73"/>
        <v>0</v>
      </c>
      <c r="G312" s="322">
        <v>2</v>
      </c>
      <c r="H312" s="300">
        <v>300</v>
      </c>
      <c r="I312" s="310">
        <f t="shared" si="74"/>
        <v>15000</v>
      </c>
      <c r="J312" s="486">
        <f t="shared" si="75"/>
        <v>15000</v>
      </c>
      <c r="K312" s="84"/>
      <c r="L312" s="84"/>
    </row>
    <row r="313" spans="1:12" s="55" customFormat="1" ht="15" x14ac:dyDescent="0.2">
      <c r="A313" s="338" t="s">
        <v>217</v>
      </c>
      <c r="B313" s="291">
        <v>353</v>
      </c>
      <c r="C313" s="291" t="s">
        <v>67</v>
      </c>
      <c r="D313" s="324">
        <v>50</v>
      </c>
      <c r="E313" s="300">
        <v>0</v>
      </c>
      <c r="F313" s="301">
        <f t="shared" si="73"/>
        <v>0</v>
      </c>
      <c r="G313" s="322">
        <v>2</v>
      </c>
      <c r="H313" s="300">
        <v>80</v>
      </c>
      <c r="I313" s="310">
        <f t="shared" si="74"/>
        <v>4000</v>
      </c>
      <c r="J313" s="486">
        <f t="shared" si="75"/>
        <v>4000</v>
      </c>
      <c r="K313" s="84"/>
      <c r="L313" s="84"/>
    </row>
    <row r="314" spans="1:12" s="55" customFormat="1" ht="15" x14ac:dyDescent="0.2">
      <c r="A314" s="337" t="s">
        <v>204</v>
      </c>
      <c r="B314" s="291">
        <v>267</v>
      </c>
      <c r="C314" s="291" t="s">
        <v>44</v>
      </c>
      <c r="D314" s="321">
        <v>450</v>
      </c>
      <c r="E314" s="300">
        <v>0</v>
      </c>
      <c r="F314" s="301">
        <f t="shared" si="73"/>
        <v>0</v>
      </c>
      <c r="G314" s="322">
        <v>2</v>
      </c>
      <c r="H314" s="300">
        <v>3</v>
      </c>
      <c r="I314" s="310">
        <f t="shared" si="74"/>
        <v>1350</v>
      </c>
      <c r="J314" s="486">
        <f t="shared" si="75"/>
        <v>1350</v>
      </c>
      <c r="K314" s="84"/>
      <c r="L314" s="84"/>
    </row>
    <row r="315" spans="1:12" s="55" customFormat="1" ht="15" x14ac:dyDescent="0.2">
      <c r="A315" s="337" t="s">
        <v>84</v>
      </c>
      <c r="B315" s="291">
        <v>165</v>
      </c>
      <c r="C315" s="291" t="s">
        <v>44</v>
      </c>
      <c r="D315" s="321">
        <v>2000</v>
      </c>
      <c r="E315" s="300">
        <v>0</v>
      </c>
      <c r="F315" s="301">
        <f t="shared" si="73"/>
        <v>0</v>
      </c>
      <c r="G315" s="322">
        <v>2</v>
      </c>
      <c r="H315" s="300">
        <v>1</v>
      </c>
      <c r="I315" s="310">
        <f t="shared" si="74"/>
        <v>2000</v>
      </c>
      <c r="J315" s="486">
        <f t="shared" si="75"/>
        <v>2000</v>
      </c>
      <c r="K315" s="84"/>
      <c r="L315" s="84"/>
    </row>
    <row r="316" spans="1:12" s="55" customFormat="1" ht="15" x14ac:dyDescent="0.2">
      <c r="A316" s="337" t="s">
        <v>157</v>
      </c>
      <c r="B316" s="291">
        <v>291</v>
      </c>
      <c r="C316" s="291" t="s">
        <v>44</v>
      </c>
      <c r="D316" s="321">
        <v>60</v>
      </c>
      <c r="E316" s="300">
        <v>0</v>
      </c>
      <c r="F316" s="301">
        <f t="shared" si="73"/>
        <v>0</v>
      </c>
      <c r="G316" s="322">
        <v>2</v>
      </c>
      <c r="H316" s="300">
        <v>4</v>
      </c>
      <c r="I316" s="310">
        <f t="shared" si="74"/>
        <v>240</v>
      </c>
      <c r="J316" s="486">
        <f t="shared" si="75"/>
        <v>240</v>
      </c>
      <c r="K316" s="84"/>
      <c r="L316" s="84"/>
    </row>
    <row r="317" spans="1:12" s="55" customFormat="1" ht="15" x14ac:dyDescent="0.2">
      <c r="A317" s="337" t="s">
        <v>65</v>
      </c>
      <c r="B317" s="291">
        <v>241</v>
      </c>
      <c r="C317" s="291" t="s">
        <v>49</v>
      </c>
      <c r="D317" s="321">
        <v>50</v>
      </c>
      <c r="E317" s="300">
        <v>0</v>
      </c>
      <c r="F317" s="301">
        <f t="shared" si="73"/>
        <v>0</v>
      </c>
      <c r="G317" s="322">
        <v>2</v>
      </c>
      <c r="H317" s="300">
        <v>4</v>
      </c>
      <c r="I317" s="310">
        <f t="shared" si="74"/>
        <v>200</v>
      </c>
      <c r="J317" s="486">
        <f t="shared" si="75"/>
        <v>200</v>
      </c>
      <c r="K317" s="84"/>
      <c r="L317" s="84"/>
    </row>
    <row r="318" spans="1:12" s="55" customFormat="1" ht="15" x14ac:dyDescent="0.2">
      <c r="A318" s="337" t="s">
        <v>156</v>
      </c>
      <c r="B318" s="291">
        <v>122</v>
      </c>
      <c r="C318" s="291" t="s">
        <v>44</v>
      </c>
      <c r="D318" s="321">
        <v>0.5</v>
      </c>
      <c r="E318" s="300">
        <v>0</v>
      </c>
      <c r="F318" s="301">
        <f t="shared" si="73"/>
        <v>0</v>
      </c>
      <c r="G318" s="322">
        <v>2</v>
      </c>
      <c r="H318" s="300">
        <v>50</v>
      </c>
      <c r="I318" s="310">
        <f t="shared" si="74"/>
        <v>25</v>
      </c>
      <c r="J318" s="486">
        <f t="shared" si="75"/>
        <v>25</v>
      </c>
      <c r="K318" s="85"/>
      <c r="L318" s="85"/>
    </row>
    <row r="319" spans="1:12" s="55" customFormat="1" ht="15" x14ac:dyDescent="0.2">
      <c r="A319" s="337" t="s">
        <v>218</v>
      </c>
      <c r="B319" s="291">
        <v>292</v>
      </c>
      <c r="C319" s="291" t="s">
        <v>44</v>
      </c>
      <c r="D319" s="321">
        <v>20</v>
      </c>
      <c r="E319" s="300">
        <v>0</v>
      </c>
      <c r="F319" s="301">
        <f t="shared" si="73"/>
        <v>0</v>
      </c>
      <c r="G319" s="322">
        <v>2</v>
      </c>
      <c r="H319" s="300">
        <v>4</v>
      </c>
      <c r="I319" s="310">
        <f t="shared" si="74"/>
        <v>80</v>
      </c>
      <c r="J319" s="486">
        <f t="shared" si="75"/>
        <v>80</v>
      </c>
      <c r="K319" s="84"/>
      <c r="L319" s="84"/>
    </row>
    <row r="320" spans="1:12" s="55" customFormat="1" ht="15.75" thickBot="1" x14ac:dyDescent="0.25">
      <c r="A320" s="337" t="s">
        <v>345</v>
      </c>
      <c r="B320" s="291"/>
      <c r="C320" s="291" t="s">
        <v>44</v>
      </c>
      <c r="D320" s="321">
        <v>1500</v>
      </c>
      <c r="E320" s="300">
        <v>0</v>
      </c>
      <c r="F320" s="301">
        <f t="shared" ref="F320" si="76">E320*D320</f>
        <v>0</v>
      </c>
      <c r="G320" s="322">
        <v>2</v>
      </c>
      <c r="H320" s="300">
        <v>12</v>
      </c>
      <c r="I320" s="310">
        <f t="shared" si="74"/>
        <v>18000</v>
      </c>
      <c r="J320" s="486">
        <f t="shared" si="75"/>
        <v>18000</v>
      </c>
      <c r="K320" s="84"/>
      <c r="L320" s="84"/>
    </row>
    <row r="321" spans="1:10" s="55" customFormat="1" ht="16.5" thickBot="1" x14ac:dyDescent="0.25">
      <c r="A321" s="910" t="str">
        <f>RRCC!D16</f>
        <v>4.1.3.1 Seguimiento, evaluación y/o actualización de los Acuerdos  suscritos en el PNSL</v>
      </c>
      <c r="B321" s="911"/>
      <c r="C321" s="912"/>
      <c r="D321" s="410"/>
      <c r="E321" s="440"/>
      <c r="F321" s="357">
        <f>SUM(F322:F329)</f>
        <v>0</v>
      </c>
      <c r="G321" s="471"/>
      <c r="H321" s="518"/>
      <c r="I321" s="351">
        <f>SUM(I322:I329)</f>
        <v>86860</v>
      </c>
      <c r="J321" s="483">
        <f t="shared" si="72"/>
        <v>86860</v>
      </c>
    </row>
    <row r="322" spans="1:10" s="55" customFormat="1" ht="15" x14ac:dyDescent="0.2">
      <c r="A322" s="352" t="s">
        <v>34</v>
      </c>
      <c r="B322" s="353">
        <v>11</v>
      </c>
      <c r="C322" s="353" t="s">
        <v>94</v>
      </c>
      <c r="D322" s="427">
        <v>715</v>
      </c>
      <c r="E322" s="441">
        <v>0</v>
      </c>
      <c r="F322" s="361">
        <f t="shared" ref="F322:F329" si="77">E322*D322</f>
        <v>0</v>
      </c>
      <c r="G322" s="472">
        <v>2</v>
      </c>
      <c r="H322" s="441">
        <v>5</v>
      </c>
      <c r="I322" s="461">
        <f t="shared" ref="I322:I329" si="78">D322*H322</f>
        <v>3575</v>
      </c>
      <c r="J322" s="485">
        <f t="shared" si="72"/>
        <v>3575</v>
      </c>
    </row>
    <row r="323" spans="1:10" s="55" customFormat="1" ht="15" x14ac:dyDescent="0.2">
      <c r="A323" s="337" t="s">
        <v>164</v>
      </c>
      <c r="B323" s="318" t="s">
        <v>192</v>
      </c>
      <c r="C323" s="291" t="s">
        <v>94</v>
      </c>
      <c r="D323" s="428">
        <v>557</v>
      </c>
      <c r="E323" s="300">
        <v>0</v>
      </c>
      <c r="F323" s="301">
        <f t="shared" si="77"/>
        <v>0</v>
      </c>
      <c r="G323" s="322">
        <v>2</v>
      </c>
      <c r="H323" s="300">
        <v>30</v>
      </c>
      <c r="I323" s="310">
        <f t="shared" si="78"/>
        <v>16710</v>
      </c>
      <c r="J323" s="486">
        <f t="shared" si="72"/>
        <v>16710</v>
      </c>
    </row>
    <row r="324" spans="1:10" s="55" customFormat="1" ht="15" x14ac:dyDescent="0.2">
      <c r="A324" s="337" t="s">
        <v>184</v>
      </c>
      <c r="B324" s="291">
        <v>29</v>
      </c>
      <c r="C324" s="291" t="s">
        <v>94</v>
      </c>
      <c r="D324" s="428">
        <v>281</v>
      </c>
      <c r="E324" s="300">
        <v>0</v>
      </c>
      <c r="F324" s="301">
        <f t="shared" si="77"/>
        <v>0</v>
      </c>
      <c r="G324" s="322">
        <v>2</v>
      </c>
      <c r="H324" s="300">
        <v>50</v>
      </c>
      <c r="I324" s="310">
        <f t="shared" si="78"/>
        <v>14050</v>
      </c>
      <c r="J324" s="486">
        <f t="shared" si="72"/>
        <v>14050</v>
      </c>
    </row>
    <row r="325" spans="1:10" s="55" customFormat="1" ht="15" x14ac:dyDescent="0.2">
      <c r="A325" s="337" t="s">
        <v>198</v>
      </c>
      <c r="B325" s="291">
        <v>29</v>
      </c>
      <c r="C325" s="291" t="s">
        <v>128</v>
      </c>
      <c r="D325" s="428">
        <v>185</v>
      </c>
      <c r="E325" s="300">
        <v>0</v>
      </c>
      <c r="F325" s="301">
        <f t="shared" si="77"/>
        <v>0</v>
      </c>
      <c r="G325" s="322">
        <v>2</v>
      </c>
      <c r="H325" s="300">
        <v>50</v>
      </c>
      <c r="I325" s="310">
        <f t="shared" si="78"/>
        <v>9250</v>
      </c>
      <c r="J325" s="486">
        <f t="shared" si="72"/>
        <v>9250</v>
      </c>
    </row>
    <row r="326" spans="1:10" s="55" customFormat="1" ht="15" x14ac:dyDescent="0.2">
      <c r="A326" s="337" t="s">
        <v>219</v>
      </c>
      <c r="B326" s="291">
        <v>29</v>
      </c>
      <c r="C326" s="291" t="s">
        <v>128</v>
      </c>
      <c r="D326" s="428">
        <f>3150/30</f>
        <v>105</v>
      </c>
      <c r="E326" s="300">
        <v>0</v>
      </c>
      <c r="F326" s="301">
        <f t="shared" si="77"/>
        <v>0</v>
      </c>
      <c r="G326" s="322">
        <v>2</v>
      </c>
      <c r="H326" s="300">
        <v>30</v>
      </c>
      <c r="I326" s="310">
        <f t="shared" si="78"/>
        <v>3150</v>
      </c>
      <c r="J326" s="486">
        <f t="shared" si="72"/>
        <v>3150</v>
      </c>
    </row>
    <row r="327" spans="1:10" s="55" customFormat="1" ht="15" x14ac:dyDescent="0.2">
      <c r="A327" s="337" t="s">
        <v>121</v>
      </c>
      <c r="B327" s="291">
        <v>262</v>
      </c>
      <c r="C327" s="291" t="s">
        <v>61</v>
      </c>
      <c r="D327" s="428">
        <v>35</v>
      </c>
      <c r="E327" s="300">
        <v>0</v>
      </c>
      <c r="F327" s="301">
        <f t="shared" si="77"/>
        <v>0</v>
      </c>
      <c r="G327" s="322">
        <v>2</v>
      </c>
      <c r="H327" s="300">
        <f>3*5*10+(4*5*10)</f>
        <v>350</v>
      </c>
      <c r="I327" s="310">
        <f t="shared" si="78"/>
        <v>12250</v>
      </c>
      <c r="J327" s="486">
        <f t="shared" si="72"/>
        <v>12250</v>
      </c>
    </row>
    <row r="328" spans="1:10" s="55" customFormat="1" ht="15" x14ac:dyDescent="0.2">
      <c r="A328" s="337" t="s">
        <v>203</v>
      </c>
      <c r="B328" s="291">
        <v>211</v>
      </c>
      <c r="C328" s="291" t="s">
        <v>44</v>
      </c>
      <c r="D328" s="428">
        <v>45</v>
      </c>
      <c r="E328" s="300">
        <v>0</v>
      </c>
      <c r="F328" s="301">
        <f t="shared" si="77"/>
        <v>0</v>
      </c>
      <c r="G328" s="322">
        <v>2</v>
      </c>
      <c r="H328" s="300">
        <f>25*15</f>
        <v>375</v>
      </c>
      <c r="I328" s="310">
        <f t="shared" si="78"/>
        <v>16875</v>
      </c>
      <c r="J328" s="486">
        <f t="shared" si="72"/>
        <v>16875</v>
      </c>
    </row>
    <row r="329" spans="1:10" s="55" customFormat="1" ht="15.75" thickBot="1" x14ac:dyDescent="0.25">
      <c r="A329" s="345" t="s">
        <v>84</v>
      </c>
      <c r="B329" s="347">
        <v>165</v>
      </c>
      <c r="C329" s="347" t="s">
        <v>44</v>
      </c>
      <c r="D329" s="430">
        <v>5500</v>
      </c>
      <c r="E329" s="439">
        <v>0</v>
      </c>
      <c r="F329" s="355">
        <f t="shared" si="77"/>
        <v>0</v>
      </c>
      <c r="G329" s="470">
        <v>2</v>
      </c>
      <c r="H329" s="439">
        <v>2</v>
      </c>
      <c r="I329" s="462">
        <f t="shared" si="78"/>
        <v>11000</v>
      </c>
      <c r="J329" s="487">
        <f t="shared" si="72"/>
        <v>11000</v>
      </c>
    </row>
    <row r="330" spans="1:10" s="55" customFormat="1" ht="16.5" thickBot="1" x14ac:dyDescent="0.25">
      <c r="A330" s="904" t="str">
        <f>RRCC!D17</f>
        <v>4.1.3.2 Seguimiento al proceso de negociación de Acuerdos de Cooperación por suscribir con las comunidades del PNSL.</v>
      </c>
      <c r="B330" s="905"/>
      <c r="C330" s="905"/>
      <c r="D330" s="410"/>
      <c r="E330" s="440"/>
      <c r="F330" s="357">
        <f>SUM(F331:F343)</f>
        <v>0</v>
      </c>
      <c r="G330" s="471"/>
      <c r="H330" s="518"/>
      <c r="I330" s="351">
        <f>SUM(I331:I343)</f>
        <v>162810</v>
      </c>
      <c r="J330" s="483">
        <f t="shared" si="72"/>
        <v>162810</v>
      </c>
    </row>
    <row r="331" spans="1:10" ht="29.1" customHeight="1" x14ac:dyDescent="0.2">
      <c r="A331" s="369" t="s">
        <v>164</v>
      </c>
      <c r="B331" s="350">
        <v>11</v>
      </c>
      <c r="C331" s="350" t="s">
        <v>94</v>
      </c>
      <c r="D331" s="550">
        <v>557</v>
      </c>
      <c r="E331" s="463">
        <v>0</v>
      </c>
      <c r="F331" s="356">
        <f t="shared" ref="F331:F343" si="79">E331*D331</f>
        <v>0</v>
      </c>
      <c r="G331" s="476">
        <v>2</v>
      </c>
      <c r="H331" s="463">
        <f>(2*12)*4</f>
        <v>96</v>
      </c>
      <c r="I331" s="539">
        <f t="shared" ref="I331:I343" si="80">D331*H331</f>
        <v>53472</v>
      </c>
      <c r="J331" s="511">
        <f t="shared" si="72"/>
        <v>53472</v>
      </c>
    </row>
    <row r="332" spans="1:10" s="55" customFormat="1" ht="15" x14ac:dyDescent="0.2">
      <c r="A332" s="337" t="s">
        <v>199</v>
      </c>
      <c r="B332" s="291">
        <v>29</v>
      </c>
      <c r="C332" s="291" t="s">
        <v>128</v>
      </c>
      <c r="D332" s="321">
        <v>385</v>
      </c>
      <c r="E332" s="300">
        <v>0</v>
      </c>
      <c r="F332" s="301">
        <f t="shared" si="79"/>
        <v>0</v>
      </c>
      <c r="G332" s="322">
        <v>2</v>
      </c>
      <c r="H332" s="300">
        <f>H331</f>
        <v>96</v>
      </c>
      <c r="I332" s="310">
        <f t="shared" si="80"/>
        <v>36960</v>
      </c>
      <c r="J332" s="486">
        <f t="shared" si="72"/>
        <v>36960</v>
      </c>
    </row>
    <row r="333" spans="1:10" s="55" customFormat="1" ht="15" x14ac:dyDescent="0.2">
      <c r="A333" s="337" t="s">
        <v>201</v>
      </c>
      <c r="B333" s="291">
        <v>29</v>
      </c>
      <c r="C333" s="291" t="s">
        <v>128</v>
      </c>
      <c r="D333" s="321">
        <v>198</v>
      </c>
      <c r="E333" s="300">
        <v>0</v>
      </c>
      <c r="F333" s="301">
        <f t="shared" si="79"/>
        <v>0</v>
      </c>
      <c r="G333" s="322">
        <v>2</v>
      </c>
      <c r="H333" s="300">
        <f>(2*12)*4</f>
        <v>96</v>
      </c>
      <c r="I333" s="310">
        <f t="shared" si="80"/>
        <v>19008</v>
      </c>
      <c r="J333" s="486">
        <f t="shared" si="72"/>
        <v>19008</v>
      </c>
    </row>
    <row r="334" spans="1:10" s="55" customFormat="1" ht="15" x14ac:dyDescent="0.2">
      <c r="A334" s="337" t="s">
        <v>200</v>
      </c>
      <c r="B334" s="291">
        <v>29</v>
      </c>
      <c r="C334" s="291" t="s">
        <v>128</v>
      </c>
      <c r="D334" s="321">
        <v>198</v>
      </c>
      <c r="E334" s="300">
        <v>0</v>
      </c>
      <c r="F334" s="301">
        <f t="shared" si="79"/>
        <v>0</v>
      </c>
      <c r="G334" s="322">
        <v>2</v>
      </c>
      <c r="H334" s="300">
        <v>180</v>
      </c>
      <c r="I334" s="310">
        <f t="shared" si="80"/>
        <v>35640</v>
      </c>
      <c r="J334" s="486">
        <f t="shared" si="72"/>
        <v>35640</v>
      </c>
    </row>
    <row r="335" spans="1:10" s="55" customFormat="1" ht="15" x14ac:dyDescent="0.2">
      <c r="A335" s="337" t="s">
        <v>121</v>
      </c>
      <c r="B335" s="291">
        <v>262</v>
      </c>
      <c r="C335" s="291" t="s">
        <v>61</v>
      </c>
      <c r="D335" s="321">
        <v>35</v>
      </c>
      <c r="E335" s="300">
        <v>0</v>
      </c>
      <c r="F335" s="301">
        <f t="shared" si="79"/>
        <v>0</v>
      </c>
      <c r="G335" s="322">
        <v>2</v>
      </c>
      <c r="H335" s="300">
        <f>(12*4)*4</f>
        <v>192</v>
      </c>
      <c r="I335" s="310">
        <f t="shared" si="80"/>
        <v>6720</v>
      </c>
      <c r="J335" s="486">
        <f t="shared" si="72"/>
        <v>6720</v>
      </c>
    </row>
    <row r="336" spans="1:10" s="55" customFormat="1" ht="15" x14ac:dyDescent="0.2">
      <c r="A336" s="337" t="s">
        <v>203</v>
      </c>
      <c r="B336" s="291">
        <v>211</v>
      </c>
      <c r="C336" s="291" t="s">
        <v>44</v>
      </c>
      <c r="D336" s="321">
        <v>60</v>
      </c>
      <c r="E336" s="300">
        <v>0</v>
      </c>
      <c r="F336" s="301">
        <f t="shared" si="79"/>
        <v>0</v>
      </c>
      <c r="G336" s="322">
        <v>2</v>
      </c>
      <c r="H336" s="300">
        <f>(5*3)*4</f>
        <v>60</v>
      </c>
      <c r="I336" s="310">
        <f t="shared" si="80"/>
        <v>3600</v>
      </c>
      <c r="J336" s="486">
        <f t="shared" si="72"/>
        <v>3600</v>
      </c>
    </row>
    <row r="337" spans="1:10" s="55" customFormat="1" ht="15" x14ac:dyDescent="0.2">
      <c r="A337" s="338" t="s">
        <v>217</v>
      </c>
      <c r="B337" s="291">
        <v>353</v>
      </c>
      <c r="C337" s="291" t="s">
        <v>67</v>
      </c>
      <c r="D337" s="324">
        <v>50</v>
      </c>
      <c r="E337" s="300">
        <v>0</v>
      </c>
      <c r="F337" s="301">
        <f t="shared" si="79"/>
        <v>0</v>
      </c>
      <c r="G337" s="322">
        <v>2</v>
      </c>
      <c r="H337" s="300">
        <v>25</v>
      </c>
      <c r="I337" s="310">
        <f t="shared" si="80"/>
        <v>1250</v>
      </c>
      <c r="J337" s="486">
        <f t="shared" si="72"/>
        <v>1250</v>
      </c>
    </row>
    <row r="338" spans="1:10" s="55" customFormat="1" ht="15" x14ac:dyDescent="0.2">
      <c r="A338" s="337" t="s">
        <v>204</v>
      </c>
      <c r="B338" s="291">
        <v>267</v>
      </c>
      <c r="C338" s="291" t="s">
        <v>44</v>
      </c>
      <c r="D338" s="321">
        <v>450</v>
      </c>
      <c r="E338" s="300">
        <v>0</v>
      </c>
      <c r="F338" s="301">
        <f t="shared" si="79"/>
        <v>0</v>
      </c>
      <c r="G338" s="322">
        <v>2</v>
      </c>
      <c r="H338" s="300">
        <v>1</v>
      </c>
      <c r="I338" s="310">
        <f t="shared" si="80"/>
        <v>450</v>
      </c>
      <c r="J338" s="486">
        <f t="shared" si="72"/>
        <v>450</v>
      </c>
    </row>
    <row r="339" spans="1:10" s="55" customFormat="1" ht="15" x14ac:dyDescent="0.2">
      <c r="A339" s="337" t="s">
        <v>84</v>
      </c>
      <c r="B339" s="291">
        <v>165</v>
      </c>
      <c r="C339" s="291" t="s">
        <v>44</v>
      </c>
      <c r="D339" s="321">
        <v>5500</v>
      </c>
      <c r="E339" s="300">
        <v>0</v>
      </c>
      <c r="F339" s="301">
        <f t="shared" si="79"/>
        <v>0</v>
      </c>
      <c r="G339" s="322">
        <v>2</v>
      </c>
      <c r="H339" s="300">
        <v>1</v>
      </c>
      <c r="I339" s="310">
        <f t="shared" si="80"/>
        <v>5500</v>
      </c>
      <c r="J339" s="486">
        <f t="shared" si="72"/>
        <v>5500</v>
      </c>
    </row>
    <row r="340" spans="1:10" s="55" customFormat="1" ht="15" x14ac:dyDescent="0.2">
      <c r="A340" s="337" t="s">
        <v>157</v>
      </c>
      <c r="B340" s="291">
        <v>291</v>
      </c>
      <c r="C340" s="291" t="s">
        <v>44</v>
      </c>
      <c r="D340" s="321">
        <v>60</v>
      </c>
      <c r="E340" s="300">
        <v>0</v>
      </c>
      <c r="F340" s="301">
        <f t="shared" si="79"/>
        <v>0</v>
      </c>
      <c r="G340" s="322">
        <v>2</v>
      </c>
      <c r="H340" s="300">
        <v>1</v>
      </c>
      <c r="I340" s="310">
        <f t="shared" si="80"/>
        <v>60</v>
      </c>
      <c r="J340" s="486">
        <f t="shared" si="72"/>
        <v>60</v>
      </c>
    </row>
    <row r="341" spans="1:10" s="55" customFormat="1" ht="15" x14ac:dyDescent="0.2">
      <c r="A341" s="337" t="s">
        <v>65</v>
      </c>
      <c r="B341" s="291">
        <v>241</v>
      </c>
      <c r="C341" s="291" t="s">
        <v>49</v>
      </c>
      <c r="D341" s="321">
        <v>50</v>
      </c>
      <c r="E341" s="300">
        <v>0</v>
      </c>
      <c r="F341" s="301">
        <f t="shared" si="79"/>
        <v>0</v>
      </c>
      <c r="G341" s="322">
        <v>2</v>
      </c>
      <c r="H341" s="300">
        <v>2</v>
      </c>
      <c r="I341" s="310">
        <f t="shared" si="80"/>
        <v>100</v>
      </c>
      <c r="J341" s="486">
        <f t="shared" si="72"/>
        <v>100</v>
      </c>
    </row>
    <row r="342" spans="1:10" s="55" customFormat="1" ht="15" x14ac:dyDescent="0.2">
      <c r="A342" s="337" t="s">
        <v>156</v>
      </c>
      <c r="B342" s="291">
        <v>122</v>
      </c>
      <c r="C342" s="291" t="s">
        <v>44</v>
      </c>
      <c r="D342" s="321">
        <v>0.5</v>
      </c>
      <c r="E342" s="300">
        <v>0</v>
      </c>
      <c r="F342" s="301">
        <f t="shared" si="79"/>
        <v>0</v>
      </c>
      <c r="G342" s="322">
        <v>2</v>
      </c>
      <c r="H342" s="300">
        <v>20</v>
      </c>
      <c r="I342" s="310">
        <f t="shared" si="80"/>
        <v>10</v>
      </c>
      <c r="J342" s="486">
        <f t="shared" si="72"/>
        <v>10</v>
      </c>
    </row>
    <row r="343" spans="1:10" s="55" customFormat="1" ht="15.75" thickBot="1" x14ac:dyDescent="0.25">
      <c r="A343" s="358" t="s">
        <v>218</v>
      </c>
      <c r="B343" s="359">
        <v>292</v>
      </c>
      <c r="C343" s="359" t="s">
        <v>44</v>
      </c>
      <c r="D343" s="425">
        <v>20</v>
      </c>
      <c r="E343" s="531">
        <v>0</v>
      </c>
      <c r="F343" s="360">
        <f t="shared" si="79"/>
        <v>0</v>
      </c>
      <c r="G343" s="477">
        <v>2</v>
      </c>
      <c r="H343" s="531">
        <v>2</v>
      </c>
      <c r="I343" s="532">
        <f t="shared" si="80"/>
        <v>40</v>
      </c>
      <c r="J343" s="551">
        <f t="shared" si="72"/>
        <v>40</v>
      </c>
    </row>
    <row r="344" spans="1:10" s="55" customFormat="1" ht="16.5" thickBot="1" x14ac:dyDescent="0.25">
      <c r="A344" s="904" t="str">
        <f>RRCC!D18</f>
        <v xml:space="preserve">4.1.3.3  Seguimiento al funcionamiento de instancias de diálogo para Prevención y Resolución de conflictos. </v>
      </c>
      <c r="B344" s="905"/>
      <c r="C344" s="905"/>
      <c r="D344" s="410"/>
      <c r="E344" s="440"/>
      <c r="F344" s="357">
        <f>SUM(F345:F355)</f>
        <v>0</v>
      </c>
      <c r="G344" s="471"/>
      <c r="H344" s="518"/>
      <c r="I344" s="351">
        <f>SUM(I345:I355)</f>
        <v>90145</v>
      </c>
      <c r="J344" s="483">
        <f t="shared" si="72"/>
        <v>90145</v>
      </c>
    </row>
    <row r="345" spans="1:10" s="55" customFormat="1" ht="15" x14ac:dyDescent="0.2">
      <c r="A345" s="369" t="s">
        <v>164</v>
      </c>
      <c r="B345" s="350">
        <v>11</v>
      </c>
      <c r="C345" s="350" t="s">
        <v>94</v>
      </c>
      <c r="D345" s="550">
        <v>557</v>
      </c>
      <c r="E345" s="463">
        <v>0</v>
      </c>
      <c r="F345" s="356">
        <f t="shared" ref="F345:F355" si="81">E345*D345</f>
        <v>0</v>
      </c>
      <c r="G345" s="476">
        <v>2</v>
      </c>
      <c r="H345" s="463">
        <v>45</v>
      </c>
      <c r="I345" s="539">
        <f t="shared" ref="I345:I355" si="82">D345*H345</f>
        <v>25065</v>
      </c>
      <c r="J345" s="511">
        <f t="shared" si="72"/>
        <v>25065</v>
      </c>
    </row>
    <row r="346" spans="1:10" s="55" customFormat="1" ht="15" x14ac:dyDescent="0.2">
      <c r="A346" s="337" t="s">
        <v>199</v>
      </c>
      <c r="B346" s="291">
        <v>29</v>
      </c>
      <c r="C346" s="291" t="s">
        <v>128</v>
      </c>
      <c r="D346" s="321">
        <v>385</v>
      </c>
      <c r="E346" s="300">
        <v>0</v>
      </c>
      <c r="F346" s="301">
        <f t="shared" si="81"/>
        <v>0</v>
      </c>
      <c r="G346" s="322">
        <v>2</v>
      </c>
      <c r="H346" s="300">
        <f>H345</f>
        <v>45</v>
      </c>
      <c r="I346" s="310">
        <f t="shared" si="82"/>
        <v>17325</v>
      </c>
      <c r="J346" s="486">
        <f t="shared" si="72"/>
        <v>17325</v>
      </c>
    </row>
    <row r="347" spans="1:10" s="55" customFormat="1" ht="15" x14ac:dyDescent="0.2">
      <c r="A347" s="337" t="s">
        <v>121</v>
      </c>
      <c r="B347" s="291">
        <v>262</v>
      </c>
      <c r="C347" s="291" t="s">
        <v>61</v>
      </c>
      <c r="D347" s="321">
        <v>35</v>
      </c>
      <c r="E347" s="300">
        <v>0</v>
      </c>
      <c r="F347" s="301">
        <f t="shared" si="81"/>
        <v>0</v>
      </c>
      <c r="G347" s="322">
        <v>2</v>
      </c>
      <c r="H347" s="300">
        <v>600</v>
      </c>
      <c r="I347" s="310">
        <f t="shared" si="82"/>
        <v>21000</v>
      </c>
      <c r="J347" s="486">
        <f t="shared" si="72"/>
        <v>21000</v>
      </c>
    </row>
    <row r="348" spans="1:10" s="55" customFormat="1" ht="15" x14ac:dyDescent="0.2">
      <c r="A348" s="337" t="s">
        <v>203</v>
      </c>
      <c r="B348" s="291">
        <v>211</v>
      </c>
      <c r="C348" s="291" t="s">
        <v>44</v>
      </c>
      <c r="D348" s="321">
        <v>60</v>
      </c>
      <c r="E348" s="300">
        <v>0</v>
      </c>
      <c r="F348" s="301">
        <f t="shared" si="81"/>
        <v>0</v>
      </c>
      <c r="G348" s="322">
        <v>2</v>
      </c>
      <c r="H348" s="300">
        <v>256</v>
      </c>
      <c r="I348" s="310">
        <f t="shared" si="82"/>
        <v>15360</v>
      </c>
      <c r="J348" s="486">
        <f t="shared" si="72"/>
        <v>15360</v>
      </c>
    </row>
    <row r="349" spans="1:10" s="55" customFormat="1" ht="15" x14ac:dyDescent="0.2">
      <c r="A349" s="338" t="s">
        <v>217</v>
      </c>
      <c r="B349" s="291">
        <v>353</v>
      </c>
      <c r="C349" s="291" t="s">
        <v>67</v>
      </c>
      <c r="D349" s="324">
        <v>50</v>
      </c>
      <c r="E349" s="300">
        <v>0</v>
      </c>
      <c r="F349" s="301">
        <f t="shared" si="81"/>
        <v>0</v>
      </c>
      <c r="G349" s="322">
        <v>2</v>
      </c>
      <c r="H349" s="300">
        <v>80</v>
      </c>
      <c r="I349" s="310">
        <f t="shared" si="82"/>
        <v>4000</v>
      </c>
      <c r="J349" s="486">
        <f t="shared" si="72"/>
        <v>4000</v>
      </c>
    </row>
    <row r="350" spans="1:10" s="55" customFormat="1" ht="15" x14ac:dyDescent="0.2">
      <c r="A350" s="337" t="s">
        <v>204</v>
      </c>
      <c r="B350" s="291">
        <v>267</v>
      </c>
      <c r="C350" s="291" t="s">
        <v>44</v>
      </c>
      <c r="D350" s="321">
        <v>450</v>
      </c>
      <c r="E350" s="300">
        <v>0</v>
      </c>
      <c r="F350" s="301">
        <f t="shared" si="81"/>
        <v>0</v>
      </c>
      <c r="G350" s="322">
        <v>2</v>
      </c>
      <c r="H350" s="300">
        <v>3</v>
      </c>
      <c r="I350" s="310">
        <f t="shared" si="82"/>
        <v>1350</v>
      </c>
      <c r="J350" s="486">
        <f t="shared" si="72"/>
        <v>1350</v>
      </c>
    </row>
    <row r="351" spans="1:10" s="55" customFormat="1" ht="15" x14ac:dyDescent="0.2">
      <c r="A351" s="337" t="s">
        <v>84</v>
      </c>
      <c r="B351" s="291">
        <v>165</v>
      </c>
      <c r="C351" s="291" t="s">
        <v>44</v>
      </c>
      <c r="D351" s="321">
        <v>5500</v>
      </c>
      <c r="E351" s="300">
        <v>0</v>
      </c>
      <c r="F351" s="301">
        <f t="shared" si="81"/>
        <v>0</v>
      </c>
      <c r="G351" s="322">
        <v>2</v>
      </c>
      <c r="H351" s="300">
        <v>1</v>
      </c>
      <c r="I351" s="310">
        <f t="shared" si="82"/>
        <v>5500</v>
      </c>
      <c r="J351" s="486">
        <f t="shared" si="72"/>
        <v>5500</v>
      </c>
    </row>
    <row r="352" spans="1:10" s="55" customFormat="1" ht="15" x14ac:dyDescent="0.2">
      <c r="A352" s="337" t="s">
        <v>157</v>
      </c>
      <c r="B352" s="291">
        <v>291</v>
      </c>
      <c r="C352" s="291" t="s">
        <v>44</v>
      </c>
      <c r="D352" s="321">
        <v>60</v>
      </c>
      <c r="E352" s="300">
        <v>0</v>
      </c>
      <c r="F352" s="301">
        <f t="shared" si="81"/>
        <v>0</v>
      </c>
      <c r="G352" s="322">
        <v>2</v>
      </c>
      <c r="H352" s="300">
        <v>4</v>
      </c>
      <c r="I352" s="310">
        <f t="shared" si="82"/>
        <v>240</v>
      </c>
      <c r="J352" s="486">
        <f t="shared" si="72"/>
        <v>240</v>
      </c>
    </row>
    <row r="353" spans="1:10" s="55" customFormat="1" ht="15" x14ac:dyDescent="0.2">
      <c r="A353" s="337" t="s">
        <v>65</v>
      </c>
      <c r="B353" s="291">
        <v>241</v>
      </c>
      <c r="C353" s="291" t="s">
        <v>49</v>
      </c>
      <c r="D353" s="321">
        <v>50</v>
      </c>
      <c r="E353" s="300">
        <v>0</v>
      </c>
      <c r="F353" s="301">
        <f t="shared" si="81"/>
        <v>0</v>
      </c>
      <c r="G353" s="322">
        <v>2</v>
      </c>
      <c r="H353" s="300">
        <v>4</v>
      </c>
      <c r="I353" s="310">
        <f t="shared" si="82"/>
        <v>200</v>
      </c>
      <c r="J353" s="486">
        <f t="shared" si="72"/>
        <v>200</v>
      </c>
    </row>
    <row r="354" spans="1:10" s="55" customFormat="1" ht="15" x14ac:dyDescent="0.2">
      <c r="A354" s="337" t="s">
        <v>156</v>
      </c>
      <c r="B354" s="291">
        <v>122</v>
      </c>
      <c r="C354" s="291" t="s">
        <v>44</v>
      </c>
      <c r="D354" s="321">
        <v>0.5</v>
      </c>
      <c r="E354" s="300">
        <v>0</v>
      </c>
      <c r="F354" s="301">
        <f t="shared" si="81"/>
        <v>0</v>
      </c>
      <c r="G354" s="322">
        <v>2</v>
      </c>
      <c r="H354" s="300">
        <v>50</v>
      </c>
      <c r="I354" s="310">
        <f t="shared" si="82"/>
        <v>25</v>
      </c>
      <c r="J354" s="486">
        <f t="shared" si="72"/>
        <v>25</v>
      </c>
    </row>
    <row r="355" spans="1:10" s="55" customFormat="1" ht="15.75" thickBot="1" x14ac:dyDescent="0.25">
      <c r="A355" s="337" t="s">
        <v>218</v>
      </c>
      <c r="B355" s="291">
        <v>292</v>
      </c>
      <c r="C355" s="291" t="s">
        <v>44</v>
      </c>
      <c r="D355" s="321">
        <v>20</v>
      </c>
      <c r="E355" s="300">
        <v>0</v>
      </c>
      <c r="F355" s="301">
        <f t="shared" si="81"/>
        <v>0</v>
      </c>
      <c r="G355" s="322">
        <v>2</v>
      </c>
      <c r="H355" s="300">
        <v>4</v>
      </c>
      <c r="I355" s="310">
        <f t="shared" si="82"/>
        <v>80</v>
      </c>
      <c r="J355" s="486">
        <f t="shared" si="72"/>
        <v>80</v>
      </c>
    </row>
    <row r="356" spans="1:10" s="55" customFormat="1" ht="16.5" thickBot="1" x14ac:dyDescent="0.25">
      <c r="A356" s="904" t="str">
        <f>RRCC!D19</f>
        <v>4.1.3.4 Establecimiento de la JD del PNSL.</v>
      </c>
      <c r="B356" s="905"/>
      <c r="C356" s="905"/>
      <c r="D356" s="410"/>
      <c r="E356" s="440"/>
      <c r="F356" s="357">
        <f>SUM(F357:F369)</f>
        <v>0</v>
      </c>
      <c r="G356" s="471"/>
      <c r="H356" s="518"/>
      <c r="I356" s="351">
        <f>SUM(I357:I369)</f>
        <v>139165</v>
      </c>
      <c r="J356" s="483">
        <f t="shared" si="72"/>
        <v>139165</v>
      </c>
    </row>
    <row r="357" spans="1:10" s="55" customFormat="1" ht="15" x14ac:dyDescent="0.2">
      <c r="A357" s="369" t="s">
        <v>164</v>
      </c>
      <c r="B357" s="350">
        <v>11</v>
      </c>
      <c r="C357" s="350" t="s">
        <v>94</v>
      </c>
      <c r="D357" s="550">
        <v>557</v>
      </c>
      <c r="E357" s="463">
        <v>0</v>
      </c>
      <c r="F357" s="356">
        <f t="shared" ref="F357:F368" si="83">E357*D357</f>
        <v>0</v>
      </c>
      <c r="G357" s="476">
        <v>2</v>
      </c>
      <c r="H357" s="300">
        <v>30</v>
      </c>
      <c r="I357" s="539">
        <f t="shared" ref="I357:I368" si="84">D357*H357</f>
        <v>16710</v>
      </c>
      <c r="J357" s="511">
        <f t="shared" ref="J357:J368" si="85">F357+I357</f>
        <v>16710</v>
      </c>
    </row>
    <row r="358" spans="1:10" s="55" customFormat="1" ht="15" x14ac:dyDescent="0.2">
      <c r="A358" s="337" t="s">
        <v>356</v>
      </c>
      <c r="B358" s="291">
        <v>29</v>
      </c>
      <c r="C358" s="291" t="s">
        <v>128</v>
      </c>
      <c r="D358" s="321">
        <v>385</v>
      </c>
      <c r="E358" s="300">
        <v>0</v>
      </c>
      <c r="F358" s="301">
        <f t="shared" si="83"/>
        <v>0</v>
      </c>
      <c r="G358" s="322">
        <v>2</v>
      </c>
      <c r="H358" s="300">
        <v>30</v>
      </c>
      <c r="I358" s="310">
        <f t="shared" si="84"/>
        <v>11550</v>
      </c>
      <c r="J358" s="486">
        <f t="shared" si="85"/>
        <v>11550</v>
      </c>
    </row>
    <row r="359" spans="1:10" s="55" customFormat="1" ht="15" x14ac:dyDescent="0.2">
      <c r="A359" s="338" t="s">
        <v>34</v>
      </c>
      <c r="B359" s="291" t="s">
        <v>170</v>
      </c>
      <c r="C359" s="291" t="s">
        <v>94</v>
      </c>
      <c r="D359" s="324">
        <v>715</v>
      </c>
      <c r="E359" s="300">
        <v>0</v>
      </c>
      <c r="F359" s="301">
        <f t="shared" si="83"/>
        <v>0</v>
      </c>
      <c r="G359" s="322">
        <v>2</v>
      </c>
      <c r="H359" s="300">
        <v>30</v>
      </c>
      <c r="I359" s="310">
        <f t="shared" si="84"/>
        <v>21450</v>
      </c>
      <c r="J359" s="486">
        <f t="shared" si="85"/>
        <v>21450</v>
      </c>
    </row>
    <row r="360" spans="1:10" s="55" customFormat="1" ht="15" x14ac:dyDescent="0.2">
      <c r="A360" s="337" t="s">
        <v>121</v>
      </c>
      <c r="B360" s="291">
        <v>262</v>
      </c>
      <c r="C360" s="291" t="s">
        <v>61</v>
      </c>
      <c r="D360" s="321">
        <v>35</v>
      </c>
      <c r="E360" s="300">
        <v>0</v>
      </c>
      <c r="F360" s="301">
        <f t="shared" si="83"/>
        <v>0</v>
      </c>
      <c r="G360" s="322">
        <v>2</v>
      </c>
      <c r="H360" s="300">
        <v>120</v>
      </c>
      <c r="I360" s="310">
        <f t="shared" si="84"/>
        <v>4200</v>
      </c>
      <c r="J360" s="486">
        <f t="shared" si="85"/>
        <v>4200</v>
      </c>
    </row>
    <row r="361" spans="1:10" s="55" customFormat="1" ht="15" x14ac:dyDescent="0.2">
      <c r="A361" s="337" t="s">
        <v>203</v>
      </c>
      <c r="B361" s="291">
        <v>211</v>
      </c>
      <c r="C361" s="291" t="s">
        <v>44</v>
      </c>
      <c r="D361" s="321">
        <v>60</v>
      </c>
      <c r="E361" s="300">
        <v>0</v>
      </c>
      <c r="F361" s="301">
        <f t="shared" si="83"/>
        <v>0</v>
      </c>
      <c r="G361" s="322">
        <v>2</v>
      </c>
      <c r="H361" s="300">
        <v>256</v>
      </c>
      <c r="I361" s="310">
        <f t="shared" si="84"/>
        <v>15360</v>
      </c>
      <c r="J361" s="486">
        <f t="shared" si="85"/>
        <v>15360</v>
      </c>
    </row>
    <row r="362" spans="1:10" s="55" customFormat="1" ht="15" x14ac:dyDescent="0.2">
      <c r="A362" s="338" t="s">
        <v>217</v>
      </c>
      <c r="B362" s="291">
        <v>353</v>
      </c>
      <c r="C362" s="291" t="s">
        <v>67</v>
      </c>
      <c r="D362" s="324">
        <v>50</v>
      </c>
      <c r="E362" s="300">
        <v>0</v>
      </c>
      <c r="F362" s="301">
        <f t="shared" si="83"/>
        <v>0</v>
      </c>
      <c r="G362" s="322">
        <v>2</v>
      </c>
      <c r="H362" s="300">
        <v>80</v>
      </c>
      <c r="I362" s="310">
        <f t="shared" si="84"/>
        <v>4000</v>
      </c>
      <c r="J362" s="486">
        <f t="shared" si="85"/>
        <v>4000</v>
      </c>
    </row>
    <row r="363" spans="1:10" s="55" customFormat="1" ht="15" x14ac:dyDescent="0.2">
      <c r="A363" s="337" t="s">
        <v>204</v>
      </c>
      <c r="B363" s="291">
        <v>267</v>
      </c>
      <c r="C363" s="291" t="s">
        <v>44</v>
      </c>
      <c r="D363" s="321">
        <v>450</v>
      </c>
      <c r="E363" s="300">
        <v>0</v>
      </c>
      <c r="F363" s="301">
        <f t="shared" si="83"/>
        <v>0</v>
      </c>
      <c r="G363" s="322">
        <v>2</v>
      </c>
      <c r="H363" s="300">
        <v>3</v>
      </c>
      <c r="I363" s="310">
        <f t="shared" si="84"/>
        <v>1350</v>
      </c>
      <c r="J363" s="486">
        <f t="shared" si="85"/>
        <v>1350</v>
      </c>
    </row>
    <row r="364" spans="1:10" s="55" customFormat="1" ht="15" x14ac:dyDescent="0.2">
      <c r="A364" s="337" t="s">
        <v>84</v>
      </c>
      <c r="B364" s="291">
        <v>165</v>
      </c>
      <c r="C364" s="291" t="s">
        <v>44</v>
      </c>
      <c r="D364" s="321">
        <v>2000</v>
      </c>
      <c r="E364" s="300">
        <v>0</v>
      </c>
      <c r="F364" s="301">
        <f t="shared" si="83"/>
        <v>0</v>
      </c>
      <c r="G364" s="322">
        <v>2</v>
      </c>
      <c r="H364" s="300">
        <v>2</v>
      </c>
      <c r="I364" s="310">
        <f t="shared" si="84"/>
        <v>4000</v>
      </c>
      <c r="J364" s="486">
        <f t="shared" si="85"/>
        <v>4000</v>
      </c>
    </row>
    <row r="365" spans="1:10" s="55" customFormat="1" ht="15" x14ac:dyDescent="0.2">
      <c r="A365" s="337" t="s">
        <v>157</v>
      </c>
      <c r="B365" s="291">
        <v>291</v>
      </c>
      <c r="C365" s="291" t="s">
        <v>44</v>
      </c>
      <c r="D365" s="321">
        <v>60</v>
      </c>
      <c r="E365" s="300">
        <v>0</v>
      </c>
      <c r="F365" s="301">
        <f t="shared" si="83"/>
        <v>0</v>
      </c>
      <c r="G365" s="322">
        <v>2</v>
      </c>
      <c r="H365" s="300">
        <v>4</v>
      </c>
      <c r="I365" s="310">
        <f t="shared" si="84"/>
        <v>240</v>
      </c>
      <c r="J365" s="486">
        <f t="shared" si="85"/>
        <v>240</v>
      </c>
    </row>
    <row r="366" spans="1:10" s="55" customFormat="1" ht="15" x14ac:dyDescent="0.2">
      <c r="A366" s="337" t="s">
        <v>65</v>
      </c>
      <c r="B366" s="291">
        <v>241</v>
      </c>
      <c r="C366" s="291" t="s">
        <v>49</v>
      </c>
      <c r="D366" s="321">
        <v>50</v>
      </c>
      <c r="E366" s="300">
        <v>0</v>
      </c>
      <c r="F366" s="301">
        <f t="shared" si="83"/>
        <v>0</v>
      </c>
      <c r="G366" s="322">
        <v>2</v>
      </c>
      <c r="H366" s="300">
        <v>4</v>
      </c>
      <c r="I366" s="310">
        <f t="shared" si="84"/>
        <v>200</v>
      </c>
      <c r="J366" s="486">
        <f t="shared" si="85"/>
        <v>200</v>
      </c>
    </row>
    <row r="367" spans="1:10" s="55" customFormat="1" ht="15" x14ac:dyDescent="0.2">
      <c r="A367" s="337" t="s">
        <v>156</v>
      </c>
      <c r="B367" s="291">
        <v>122</v>
      </c>
      <c r="C367" s="291" t="s">
        <v>44</v>
      </c>
      <c r="D367" s="321">
        <v>0.5</v>
      </c>
      <c r="E367" s="300">
        <v>0</v>
      </c>
      <c r="F367" s="301">
        <f t="shared" si="83"/>
        <v>0</v>
      </c>
      <c r="G367" s="322">
        <v>2</v>
      </c>
      <c r="H367" s="300">
        <v>50</v>
      </c>
      <c r="I367" s="310">
        <f t="shared" si="84"/>
        <v>25</v>
      </c>
      <c r="J367" s="486">
        <f t="shared" si="85"/>
        <v>25</v>
      </c>
    </row>
    <row r="368" spans="1:10" s="55" customFormat="1" ht="15" x14ac:dyDescent="0.2">
      <c r="A368" s="337" t="s">
        <v>218</v>
      </c>
      <c r="B368" s="291">
        <v>292</v>
      </c>
      <c r="C368" s="291" t="s">
        <v>44</v>
      </c>
      <c r="D368" s="321">
        <v>20</v>
      </c>
      <c r="E368" s="300">
        <v>0</v>
      </c>
      <c r="F368" s="301">
        <f t="shared" si="83"/>
        <v>0</v>
      </c>
      <c r="G368" s="322">
        <v>2</v>
      </c>
      <c r="H368" s="300">
        <v>4</v>
      </c>
      <c r="I368" s="310">
        <f t="shared" si="84"/>
        <v>80</v>
      </c>
      <c r="J368" s="486">
        <f t="shared" si="85"/>
        <v>80</v>
      </c>
    </row>
    <row r="369" spans="1:10" s="55" customFormat="1" ht="15.75" thickBot="1" x14ac:dyDescent="0.25">
      <c r="A369" s="337" t="s">
        <v>345</v>
      </c>
      <c r="B369" s="291"/>
      <c r="C369" s="291" t="s">
        <v>44</v>
      </c>
      <c r="D369" s="321">
        <v>5000</v>
      </c>
      <c r="E369" s="300">
        <v>0</v>
      </c>
      <c r="F369" s="301">
        <f t="shared" ref="F369" si="86">E369*D369</f>
        <v>0</v>
      </c>
      <c r="G369" s="322">
        <v>2</v>
      </c>
      <c r="H369" s="300">
        <v>12</v>
      </c>
      <c r="I369" s="310">
        <f t="shared" ref="I369" si="87">D369*H369</f>
        <v>60000</v>
      </c>
      <c r="J369" s="486">
        <f t="shared" ref="J369" si="88">F369+I369</f>
        <v>60000</v>
      </c>
    </row>
    <row r="370" spans="1:10" s="54" customFormat="1" ht="36.75" customHeight="1" thickBot="1" x14ac:dyDescent="0.25">
      <c r="A370" s="947" t="s">
        <v>230</v>
      </c>
      <c r="B370" s="948"/>
      <c r="C370" s="948"/>
      <c r="D370" s="418"/>
      <c r="E370" s="449"/>
      <c r="F370" s="348"/>
      <c r="G370" s="475"/>
      <c r="H370" s="449"/>
      <c r="I370" s="533"/>
      <c r="J370" s="503"/>
    </row>
    <row r="371" spans="1:10" ht="16.5" thickBot="1" x14ac:dyDescent="0.3">
      <c r="A371" s="904" t="str">
        <f>+RRCC!D29</f>
        <v>4.2.1.4 Establecimiento en  1 vivero institucional en cooperativa La Lucha para la producción de al menos 20,000 plantas que seran utilizadas para establecer y repoblar SAF en poligonos comunitarios del PNSL.</v>
      </c>
      <c r="B371" s="905"/>
      <c r="C371" s="905"/>
      <c r="D371" s="391"/>
      <c r="E371" s="450"/>
      <c r="F371" s="519">
        <f>SUM(F372:F378)</f>
        <v>0</v>
      </c>
      <c r="G371" s="571"/>
      <c r="H371" s="571"/>
      <c r="I371" s="519">
        <f>SUM(I372:I378)</f>
        <v>130760</v>
      </c>
      <c r="J371" s="519">
        <f t="shared" ref="J371:J502" si="89">F371+I371</f>
        <v>130760</v>
      </c>
    </row>
    <row r="372" spans="1:10" ht="15" x14ac:dyDescent="0.2">
      <c r="A372" s="352" t="s">
        <v>164</v>
      </c>
      <c r="B372" s="353">
        <v>11</v>
      </c>
      <c r="C372" s="353" t="s">
        <v>128</v>
      </c>
      <c r="D372" s="407">
        <v>557</v>
      </c>
      <c r="E372" s="442">
        <v>0</v>
      </c>
      <c r="F372" s="461">
        <f t="shared" ref="F372:F378" si="90">E372*D372</f>
        <v>0</v>
      </c>
      <c r="G372" s="472">
        <v>2</v>
      </c>
      <c r="H372" s="441">
        <f>360*0.15</f>
        <v>54</v>
      </c>
      <c r="I372" s="461">
        <f t="shared" ref="I372:I374" si="91">D372*H372</f>
        <v>30078</v>
      </c>
      <c r="J372" s="484">
        <f t="shared" ref="J372:J374" si="92">F372+I372</f>
        <v>30078</v>
      </c>
    </row>
    <row r="373" spans="1:10" ht="15" x14ac:dyDescent="0.2">
      <c r="A373" s="337" t="s">
        <v>184</v>
      </c>
      <c r="B373" s="291">
        <v>29</v>
      </c>
      <c r="C373" s="291" t="s">
        <v>128</v>
      </c>
      <c r="D373" s="321">
        <v>281</v>
      </c>
      <c r="E373" s="303">
        <v>0</v>
      </c>
      <c r="F373" s="310">
        <f t="shared" si="90"/>
        <v>0</v>
      </c>
      <c r="G373" s="322">
        <v>2</v>
      </c>
      <c r="H373" s="300">
        <f t="shared" ref="H373:H374" si="93">360*0.45</f>
        <v>162</v>
      </c>
      <c r="I373" s="310">
        <f t="shared" si="91"/>
        <v>45522</v>
      </c>
      <c r="J373" s="481">
        <f t="shared" si="92"/>
        <v>45522</v>
      </c>
    </row>
    <row r="374" spans="1:10" ht="15" x14ac:dyDescent="0.2">
      <c r="A374" s="337" t="s">
        <v>191</v>
      </c>
      <c r="B374" s="291">
        <v>29</v>
      </c>
      <c r="C374" s="291" t="s">
        <v>128</v>
      </c>
      <c r="D374" s="321">
        <v>105</v>
      </c>
      <c r="E374" s="303">
        <v>0</v>
      </c>
      <c r="F374" s="310">
        <f t="shared" si="90"/>
        <v>0</v>
      </c>
      <c r="G374" s="322">
        <v>2</v>
      </c>
      <c r="H374" s="300">
        <f t="shared" si="93"/>
        <v>162</v>
      </c>
      <c r="I374" s="310">
        <f t="shared" si="91"/>
        <v>17010</v>
      </c>
      <c r="J374" s="481">
        <f t="shared" si="92"/>
        <v>17010</v>
      </c>
    </row>
    <row r="375" spans="1:10" ht="15" x14ac:dyDescent="0.2">
      <c r="A375" s="349" t="s">
        <v>348</v>
      </c>
      <c r="B375" s="350"/>
      <c r="C375" s="350" t="s">
        <v>44</v>
      </c>
      <c r="D375" s="554">
        <v>30000</v>
      </c>
      <c r="E375" s="455">
        <v>0</v>
      </c>
      <c r="F375" s="310">
        <f t="shared" si="90"/>
        <v>0</v>
      </c>
      <c r="G375" s="476">
        <v>2</v>
      </c>
      <c r="H375" s="463">
        <v>1</v>
      </c>
      <c r="I375" s="310">
        <f t="shared" ref="I375:I378" si="94">D375*H375</f>
        <v>30000</v>
      </c>
      <c r="J375" s="481">
        <f t="shared" ref="J375:J378" si="95">F375+I375</f>
        <v>30000</v>
      </c>
    </row>
    <row r="376" spans="1:10" ht="15" x14ac:dyDescent="0.2">
      <c r="A376" s="349" t="s">
        <v>349</v>
      </c>
      <c r="B376" s="350"/>
      <c r="C376" s="350" t="s">
        <v>63</v>
      </c>
      <c r="D376" s="554">
        <v>200</v>
      </c>
      <c r="E376" s="455">
        <v>0</v>
      </c>
      <c r="F376" s="310">
        <f t="shared" si="90"/>
        <v>0</v>
      </c>
      <c r="G376" s="476">
        <v>2</v>
      </c>
      <c r="H376" s="463">
        <v>10</v>
      </c>
      <c r="I376" s="310">
        <f t="shared" si="94"/>
        <v>2000</v>
      </c>
      <c r="J376" s="481">
        <f t="shared" si="95"/>
        <v>2000</v>
      </c>
    </row>
    <row r="377" spans="1:10" ht="15" x14ac:dyDescent="0.2">
      <c r="A377" s="349" t="s">
        <v>350</v>
      </c>
      <c r="B377" s="350"/>
      <c r="C377" s="350" t="s">
        <v>28</v>
      </c>
      <c r="D377" s="554">
        <v>1</v>
      </c>
      <c r="E377" s="463">
        <v>0</v>
      </c>
      <c r="F377" s="539">
        <f t="shared" si="90"/>
        <v>0</v>
      </c>
      <c r="G377" s="476">
        <v>2</v>
      </c>
      <c r="H377" s="463">
        <v>3000</v>
      </c>
      <c r="I377" s="310">
        <f t="shared" si="94"/>
        <v>3000</v>
      </c>
      <c r="J377" s="481">
        <f t="shared" si="95"/>
        <v>3000</v>
      </c>
    </row>
    <row r="378" spans="1:10" ht="15.75" thickBot="1" x14ac:dyDescent="0.25">
      <c r="A378" s="345" t="s">
        <v>121</v>
      </c>
      <c r="B378" s="347">
        <v>262</v>
      </c>
      <c r="C378" s="347" t="s">
        <v>61</v>
      </c>
      <c r="D378" s="409">
        <v>35</v>
      </c>
      <c r="E378" s="439">
        <v>0</v>
      </c>
      <c r="F378" s="355">
        <f t="shared" si="90"/>
        <v>0</v>
      </c>
      <c r="G378" s="470">
        <v>2</v>
      </c>
      <c r="H378" s="439">
        <v>90</v>
      </c>
      <c r="I378" s="462">
        <f t="shared" si="94"/>
        <v>3150</v>
      </c>
      <c r="J378" s="487">
        <f t="shared" si="95"/>
        <v>3150</v>
      </c>
    </row>
    <row r="379" spans="1:10" ht="16.5" thickBot="1" x14ac:dyDescent="0.3">
      <c r="A379" s="904" t="str">
        <f>RRCC!D30</f>
        <v>4.2.1.6 Establecimiento de al menos 45 hectáreas de SAF de (Pimienta, Achiote, Cacao) en 05 Cooperativas y 05 comunidades PNSL.</v>
      </c>
      <c r="B379" s="905"/>
      <c r="C379" s="905"/>
      <c r="D379" s="617"/>
      <c r="E379" s="450"/>
      <c r="F379" s="519">
        <f>SUM(F380:F385)</f>
        <v>0</v>
      </c>
      <c r="G379" s="571"/>
      <c r="H379" s="571"/>
      <c r="I379" s="519">
        <f>SUM(I380:I385)</f>
        <v>137280</v>
      </c>
      <c r="J379" s="519">
        <f t="shared" si="89"/>
        <v>137280</v>
      </c>
    </row>
    <row r="380" spans="1:10" ht="15" x14ac:dyDescent="0.2">
      <c r="A380" s="337" t="s">
        <v>184</v>
      </c>
      <c r="B380" s="291">
        <v>29</v>
      </c>
      <c r="C380" s="291" t="s">
        <v>128</v>
      </c>
      <c r="D380" s="321">
        <v>281</v>
      </c>
      <c r="E380" s="303">
        <v>0</v>
      </c>
      <c r="F380" s="310">
        <f t="shared" ref="F380:F385" si="96">E380*D380</f>
        <v>0</v>
      </c>
      <c r="G380" s="322">
        <v>2</v>
      </c>
      <c r="H380" s="300">
        <v>80</v>
      </c>
      <c r="I380" s="310">
        <f t="shared" ref="I380:I385" si="97">D380*H380</f>
        <v>22480</v>
      </c>
      <c r="J380" s="481">
        <f t="shared" ref="J380:J385" si="98">F380+I380</f>
        <v>22480</v>
      </c>
    </row>
    <row r="381" spans="1:10" ht="15" x14ac:dyDescent="0.2">
      <c r="A381" s="337" t="s">
        <v>191</v>
      </c>
      <c r="B381" s="291">
        <v>29</v>
      </c>
      <c r="C381" s="291" t="s">
        <v>128</v>
      </c>
      <c r="D381" s="321">
        <v>105</v>
      </c>
      <c r="E381" s="303">
        <v>0</v>
      </c>
      <c r="F381" s="310">
        <f t="shared" si="96"/>
        <v>0</v>
      </c>
      <c r="G381" s="322">
        <v>2</v>
      </c>
      <c r="H381" s="300">
        <v>120</v>
      </c>
      <c r="I381" s="310">
        <f t="shared" si="97"/>
        <v>12600</v>
      </c>
      <c r="J381" s="481">
        <f t="shared" si="98"/>
        <v>12600</v>
      </c>
    </row>
    <row r="382" spans="1:10" ht="15" x14ac:dyDescent="0.2">
      <c r="A382" s="349" t="s">
        <v>354</v>
      </c>
      <c r="B382" s="350"/>
      <c r="C382" s="350" t="s">
        <v>44</v>
      </c>
      <c r="D382" s="554">
        <v>30000</v>
      </c>
      <c r="E382" s="455">
        <v>0</v>
      </c>
      <c r="F382" s="310">
        <f t="shared" si="96"/>
        <v>0</v>
      </c>
      <c r="G382" s="476">
        <v>2</v>
      </c>
      <c r="H382" s="463">
        <v>1</v>
      </c>
      <c r="I382" s="310">
        <f t="shared" si="97"/>
        <v>30000</v>
      </c>
      <c r="J382" s="481">
        <f t="shared" si="98"/>
        <v>30000</v>
      </c>
    </row>
    <row r="383" spans="1:10" ht="15" x14ac:dyDescent="0.2">
      <c r="A383" s="349" t="s">
        <v>355</v>
      </c>
      <c r="B383" s="350"/>
      <c r="C383" s="350" t="s">
        <v>28</v>
      </c>
      <c r="D383" s="554">
        <v>6</v>
      </c>
      <c r="E383" s="455">
        <v>0</v>
      </c>
      <c r="F383" s="310">
        <f t="shared" si="96"/>
        <v>0</v>
      </c>
      <c r="G383" s="476">
        <v>2</v>
      </c>
      <c r="H383" s="463">
        <v>10000</v>
      </c>
      <c r="I383" s="310">
        <f t="shared" si="97"/>
        <v>60000</v>
      </c>
      <c r="J383" s="481">
        <f t="shared" si="98"/>
        <v>60000</v>
      </c>
    </row>
    <row r="384" spans="1:10" ht="15" x14ac:dyDescent="0.2">
      <c r="A384" s="349" t="s">
        <v>121</v>
      </c>
      <c r="B384" s="350">
        <v>262</v>
      </c>
      <c r="C384" s="350" t="s">
        <v>61</v>
      </c>
      <c r="D384" s="554">
        <v>35</v>
      </c>
      <c r="E384" s="455">
        <v>0</v>
      </c>
      <c r="F384" s="310">
        <f t="shared" si="96"/>
        <v>0</v>
      </c>
      <c r="G384" s="476">
        <v>2</v>
      </c>
      <c r="H384" s="463">
        <v>120</v>
      </c>
      <c r="I384" s="310">
        <f t="shared" si="97"/>
        <v>4200</v>
      </c>
      <c r="J384" s="481">
        <f t="shared" si="98"/>
        <v>4200</v>
      </c>
    </row>
    <row r="385" spans="1:10" ht="15.75" thickBot="1" x14ac:dyDescent="0.25">
      <c r="A385" s="345" t="s">
        <v>84</v>
      </c>
      <c r="B385" s="347">
        <v>165</v>
      </c>
      <c r="C385" s="347" t="s">
        <v>44</v>
      </c>
      <c r="D385" s="409">
        <v>2000</v>
      </c>
      <c r="E385" s="439">
        <v>0</v>
      </c>
      <c r="F385" s="355">
        <f t="shared" si="96"/>
        <v>0</v>
      </c>
      <c r="G385" s="470">
        <v>2</v>
      </c>
      <c r="H385" s="439">
        <v>4</v>
      </c>
      <c r="I385" s="462">
        <f t="shared" si="97"/>
        <v>8000</v>
      </c>
      <c r="J385" s="487">
        <f t="shared" si="98"/>
        <v>8000</v>
      </c>
    </row>
    <row r="386" spans="1:10" ht="16.5" thickBot="1" x14ac:dyDescent="0.3">
      <c r="A386" s="904" t="str">
        <f>RRCC!D31</f>
        <v>4.2.1.8 Monitoreo de la sobrevivencia de plantas establecidas y replantadas en 10 comunidades.</v>
      </c>
      <c r="B386" s="905"/>
      <c r="C386" s="905"/>
      <c r="D386" s="617"/>
      <c r="E386" s="450"/>
      <c r="F386" s="519">
        <f>SUM(F387:F389)</f>
        <v>0</v>
      </c>
      <c r="G386" s="571"/>
      <c r="H386" s="571"/>
      <c r="I386" s="519">
        <f>SUM(I387:I389)</f>
        <v>9048</v>
      </c>
      <c r="J386" s="519">
        <f t="shared" si="89"/>
        <v>9048</v>
      </c>
    </row>
    <row r="387" spans="1:10" ht="15" x14ac:dyDescent="0.2">
      <c r="A387" s="337" t="s">
        <v>184</v>
      </c>
      <c r="B387" s="291">
        <v>29</v>
      </c>
      <c r="C387" s="291" t="s">
        <v>128</v>
      </c>
      <c r="D387" s="321">
        <v>281</v>
      </c>
      <c r="E387" s="303">
        <v>0</v>
      </c>
      <c r="F387" s="310">
        <f t="shared" ref="F387:F389" si="99">E387*D387</f>
        <v>0</v>
      </c>
      <c r="G387" s="322">
        <v>2</v>
      </c>
      <c r="H387" s="300">
        <f>360*0.05</f>
        <v>18</v>
      </c>
      <c r="I387" s="310">
        <f t="shared" ref="I387:I389" si="100">D387*H387</f>
        <v>5058</v>
      </c>
      <c r="J387" s="481">
        <f t="shared" ref="J387:J389" si="101">F387+I387</f>
        <v>5058</v>
      </c>
    </row>
    <row r="388" spans="1:10" ht="15" x14ac:dyDescent="0.2">
      <c r="A388" s="337" t="s">
        <v>191</v>
      </c>
      <c r="B388" s="291">
        <v>29</v>
      </c>
      <c r="C388" s="291" t="s">
        <v>128</v>
      </c>
      <c r="D388" s="321">
        <v>105</v>
      </c>
      <c r="E388" s="303">
        <v>0</v>
      </c>
      <c r="F388" s="310">
        <f t="shared" si="99"/>
        <v>0</v>
      </c>
      <c r="G388" s="322">
        <v>2</v>
      </c>
      <c r="H388" s="300">
        <f>360*0.05</f>
        <v>18</v>
      </c>
      <c r="I388" s="310">
        <f t="shared" si="100"/>
        <v>1890</v>
      </c>
      <c r="J388" s="481">
        <f t="shared" si="101"/>
        <v>1890</v>
      </c>
    </row>
    <row r="389" spans="1:10" ht="15.75" thickBot="1" x14ac:dyDescent="0.25">
      <c r="A389" s="349" t="s">
        <v>121</v>
      </c>
      <c r="B389" s="350">
        <v>262</v>
      </c>
      <c r="C389" s="350" t="s">
        <v>61</v>
      </c>
      <c r="D389" s="554">
        <v>35</v>
      </c>
      <c r="E389" s="455">
        <v>0</v>
      </c>
      <c r="F389" s="310">
        <f t="shared" si="99"/>
        <v>0</v>
      </c>
      <c r="G389" s="476">
        <v>2</v>
      </c>
      <c r="H389" s="463">
        <v>60</v>
      </c>
      <c r="I389" s="310">
        <f t="shared" si="100"/>
        <v>2100</v>
      </c>
      <c r="J389" s="481">
        <f t="shared" si="101"/>
        <v>2100</v>
      </c>
    </row>
    <row r="390" spans="1:10" ht="16.5" thickBot="1" x14ac:dyDescent="0.3">
      <c r="A390" s="904" t="str">
        <f>RRCC!D32</f>
        <v>4.2.1.9 Mantenimiento de los sistemas establecidos. (Podas, fertilización, desmalezado, replanteo) en 10 comunidades, 205 hectareas</v>
      </c>
      <c r="B390" s="905"/>
      <c r="C390" s="905"/>
      <c r="D390" s="617"/>
      <c r="E390" s="450"/>
      <c r="F390" s="519">
        <f>SUM(F391:F395)</f>
        <v>0</v>
      </c>
      <c r="G390" s="571"/>
      <c r="H390" s="571"/>
      <c r="I390" s="519">
        <f>SUM(I391:I395)</f>
        <v>55698</v>
      </c>
      <c r="J390" s="519">
        <f t="shared" si="89"/>
        <v>55698</v>
      </c>
    </row>
    <row r="391" spans="1:10" ht="15" x14ac:dyDescent="0.2">
      <c r="A391" s="352" t="s">
        <v>164</v>
      </c>
      <c r="B391" s="353">
        <v>11</v>
      </c>
      <c r="C391" s="353" t="s">
        <v>128</v>
      </c>
      <c r="D391" s="407">
        <v>557</v>
      </c>
      <c r="E391" s="442">
        <v>0</v>
      </c>
      <c r="F391" s="461">
        <f t="shared" ref="F391:F395" si="102">E391*D391</f>
        <v>0</v>
      </c>
      <c r="G391" s="472">
        <v>2</v>
      </c>
      <c r="H391" s="441">
        <f>360*0.1</f>
        <v>36</v>
      </c>
      <c r="I391" s="461">
        <f t="shared" ref="I391:I395" si="103">D391*H391</f>
        <v>20052</v>
      </c>
      <c r="J391" s="484">
        <f t="shared" ref="J391:J395" si="104">F391+I391</f>
        <v>20052</v>
      </c>
    </row>
    <row r="392" spans="1:10" ht="15" x14ac:dyDescent="0.2">
      <c r="A392" s="337" t="s">
        <v>184</v>
      </c>
      <c r="B392" s="291">
        <v>29</v>
      </c>
      <c r="C392" s="291" t="s">
        <v>128</v>
      </c>
      <c r="D392" s="321">
        <v>281</v>
      </c>
      <c r="E392" s="303">
        <v>0</v>
      </c>
      <c r="F392" s="310">
        <f t="shared" si="102"/>
        <v>0</v>
      </c>
      <c r="G392" s="322">
        <v>2</v>
      </c>
      <c r="H392" s="300">
        <f>360*0.1</f>
        <v>36</v>
      </c>
      <c r="I392" s="310">
        <f t="shared" si="103"/>
        <v>10116</v>
      </c>
      <c r="J392" s="481">
        <f t="shared" si="104"/>
        <v>10116</v>
      </c>
    </row>
    <row r="393" spans="1:10" ht="15" x14ac:dyDescent="0.2">
      <c r="A393" s="337" t="s">
        <v>191</v>
      </c>
      <c r="B393" s="291">
        <v>29</v>
      </c>
      <c r="C393" s="291" t="s">
        <v>128</v>
      </c>
      <c r="D393" s="321">
        <v>105</v>
      </c>
      <c r="E393" s="303">
        <v>0</v>
      </c>
      <c r="F393" s="310">
        <f t="shared" si="102"/>
        <v>0</v>
      </c>
      <c r="G393" s="322">
        <v>2</v>
      </c>
      <c r="H393" s="300">
        <f>360*0.1</f>
        <v>36</v>
      </c>
      <c r="I393" s="310">
        <f t="shared" si="103"/>
        <v>3780</v>
      </c>
      <c r="J393" s="481">
        <f t="shared" si="104"/>
        <v>3780</v>
      </c>
    </row>
    <row r="394" spans="1:10" ht="15" x14ac:dyDescent="0.2">
      <c r="A394" s="349" t="s">
        <v>351</v>
      </c>
      <c r="B394" s="350"/>
      <c r="C394" s="350" t="s">
        <v>44</v>
      </c>
      <c r="D394" s="554">
        <v>20000</v>
      </c>
      <c r="E394" s="455">
        <v>0</v>
      </c>
      <c r="F394" s="310">
        <f t="shared" si="102"/>
        <v>0</v>
      </c>
      <c r="G394" s="476">
        <v>2</v>
      </c>
      <c r="H394" s="463">
        <v>1</v>
      </c>
      <c r="I394" s="310">
        <f t="shared" si="103"/>
        <v>20000</v>
      </c>
      <c r="J394" s="481">
        <f t="shared" si="104"/>
        <v>20000</v>
      </c>
    </row>
    <row r="395" spans="1:10" ht="15.75" thickBot="1" x14ac:dyDescent="0.25">
      <c r="A395" s="345" t="s">
        <v>121</v>
      </c>
      <c r="B395" s="347">
        <v>262</v>
      </c>
      <c r="C395" s="347" t="s">
        <v>61</v>
      </c>
      <c r="D395" s="409">
        <v>35</v>
      </c>
      <c r="E395" s="439">
        <v>0</v>
      </c>
      <c r="F395" s="355">
        <f t="shared" si="102"/>
        <v>0</v>
      </c>
      <c r="G395" s="470">
        <v>2</v>
      </c>
      <c r="H395" s="439">
        <v>50</v>
      </c>
      <c r="I395" s="462">
        <f t="shared" si="103"/>
        <v>1750</v>
      </c>
      <c r="J395" s="487">
        <f t="shared" si="104"/>
        <v>1750</v>
      </c>
    </row>
    <row r="396" spans="1:10" ht="16.5" thickBot="1" x14ac:dyDescent="0.3">
      <c r="A396" s="904" t="str">
        <f>RRCC!D33</f>
        <v>4.2.1.13 Manejo de 30 hectáreas de Bosque Secundario en La Lucha.</v>
      </c>
      <c r="B396" s="905"/>
      <c r="C396" s="905"/>
      <c r="D396" s="618"/>
      <c r="E396" s="450"/>
      <c r="F396" s="519">
        <f>SUM(F397:F402)</f>
        <v>0</v>
      </c>
      <c r="G396" s="571"/>
      <c r="H396" s="571"/>
      <c r="I396" s="519">
        <f>SUM(I397:I402)</f>
        <v>61180</v>
      </c>
      <c r="J396" s="519">
        <f>F396+I396</f>
        <v>61180</v>
      </c>
    </row>
    <row r="397" spans="1:10" ht="15" x14ac:dyDescent="0.2">
      <c r="A397" s="352" t="s">
        <v>164</v>
      </c>
      <c r="B397" s="353">
        <v>11</v>
      </c>
      <c r="C397" s="353" t="s">
        <v>128</v>
      </c>
      <c r="D397" s="407">
        <v>557</v>
      </c>
      <c r="E397" s="442">
        <v>0</v>
      </c>
      <c r="F397" s="461">
        <f t="shared" ref="F397:F402" si="105">E397*D397</f>
        <v>0</v>
      </c>
      <c r="G397" s="472">
        <v>2</v>
      </c>
      <c r="H397" s="441">
        <v>10</v>
      </c>
      <c r="I397" s="461">
        <f t="shared" ref="I397:I402" si="106">D397*H397</f>
        <v>5570</v>
      </c>
      <c r="J397" s="484">
        <f t="shared" ref="J397:J403" si="107">F397+I397</f>
        <v>5570</v>
      </c>
    </row>
    <row r="398" spans="1:10" ht="15" x14ac:dyDescent="0.2">
      <c r="A398" s="337" t="s">
        <v>198</v>
      </c>
      <c r="B398" s="291">
        <v>29</v>
      </c>
      <c r="C398" s="291" t="s">
        <v>128</v>
      </c>
      <c r="D398" s="321">
        <v>281</v>
      </c>
      <c r="E398" s="303">
        <v>0</v>
      </c>
      <c r="F398" s="310">
        <f t="shared" si="105"/>
        <v>0</v>
      </c>
      <c r="G398" s="322">
        <v>2</v>
      </c>
      <c r="H398" s="300">
        <v>10</v>
      </c>
      <c r="I398" s="310">
        <f t="shared" si="106"/>
        <v>2810</v>
      </c>
      <c r="J398" s="481">
        <f t="shared" si="107"/>
        <v>2810</v>
      </c>
    </row>
    <row r="399" spans="1:10" ht="15" x14ac:dyDescent="0.2">
      <c r="A399" s="337" t="s">
        <v>191</v>
      </c>
      <c r="B399" s="291">
        <v>29</v>
      </c>
      <c r="C399" s="291" t="s">
        <v>128</v>
      </c>
      <c r="D399" s="321">
        <v>105</v>
      </c>
      <c r="E399" s="303">
        <v>0</v>
      </c>
      <c r="F399" s="310">
        <f t="shared" si="105"/>
        <v>0</v>
      </c>
      <c r="G399" s="322">
        <v>2</v>
      </c>
      <c r="H399" s="300">
        <v>10</v>
      </c>
      <c r="I399" s="310">
        <f t="shared" si="106"/>
        <v>1050</v>
      </c>
      <c r="J399" s="481">
        <f t="shared" si="107"/>
        <v>1050</v>
      </c>
    </row>
    <row r="400" spans="1:10" ht="15" x14ac:dyDescent="0.2">
      <c r="A400" s="349" t="s">
        <v>348</v>
      </c>
      <c r="B400" s="350"/>
      <c r="C400" s="350" t="s">
        <v>44</v>
      </c>
      <c r="D400" s="554">
        <v>10000</v>
      </c>
      <c r="E400" s="455">
        <v>0</v>
      </c>
      <c r="F400" s="310">
        <f t="shared" si="105"/>
        <v>0</v>
      </c>
      <c r="G400" s="476">
        <v>2</v>
      </c>
      <c r="H400" s="463">
        <v>1</v>
      </c>
      <c r="I400" s="310">
        <f t="shared" si="106"/>
        <v>10000</v>
      </c>
      <c r="J400" s="481">
        <f t="shared" si="107"/>
        <v>10000</v>
      </c>
    </row>
    <row r="401" spans="1:10" ht="15.75" thickBot="1" x14ac:dyDescent="0.25">
      <c r="A401" s="345" t="s">
        <v>121</v>
      </c>
      <c r="B401" s="347">
        <v>262</v>
      </c>
      <c r="C401" s="347" t="s">
        <v>61</v>
      </c>
      <c r="D401" s="409">
        <v>35</v>
      </c>
      <c r="E401" s="439">
        <v>0</v>
      </c>
      <c r="F401" s="355">
        <f t="shared" si="105"/>
        <v>0</v>
      </c>
      <c r="G401" s="470">
        <v>2</v>
      </c>
      <c r="H401" s="439">
        <v>50</v>
      </c>
      <c r="I401" s="462">
        <f t="shared" si="106"/>
        <v>1750</v>
      </c>
      <c r="J401" s="487">
        <f t="shared" si="107"/>
        <v>1750</v>
      </c>
    </row>
    <row r="402" spans="1:10" ht="15.75" thickBot="1" x14ac:dyDescent="0.25">
      <c r="A402" s="337" t="s">
        <v>367</v>
      </c>
      <c r="B402" s="291"/>
      <c r="C402" s="291" t="s">
        <v>368</v>
      </c>
      <c r="D402" s="321">
        <v>100</v>
      </c>
      <c r="E402" s="303">
        <v>0</v>
      </c>
      <c r="F402" s="310">
        <f t="shared" si="105"/>
        <v>0</v>
      </c>
      <c r="G402" s="322"/>
      <c r="H402" s="300">
        <v>400</v>
      </c>
      <c r="I402" s="462">
        <f t="shared" si="106"/>
        <v>40000</v>
      </c>
      <c r="J402" s="487">
        <f t="shared" si="107"/>
        <v>40000</v>
      </c>
    </row>
    <row r="403" spans="1:10" ht="16.5" thickBot="1" x14ac:dyDescent="0.3">
      <c r="A403" s="904" t="str">
        <f>RRCC!D34</f>
        <v>4.2.1.14 Asistencia Tecnica en Manejo Forestal Sostenible, Maderable y No Maderable (3000 hectareas).</v>
      </c>
      <c r="B403" s="905"/>
      <c r="C403" s="905"/>
      <c r="D403" s="618"/>
      <c r="E403" s="450"/>
      <c r="F403" s="519">
        <f>SUM(F404:F407)</f>
        <v>0</v>
      </c>
      <c r="G403" s="571"/>
      <c r="H403" s="571"/>
      <c r="I403" s="519">
        <f>SUM(I404:I407)</f>
        <v>13698</v>
      </c>
      <c r="J403" s="519">
        <f t="shared" si="107"/>
        <v>13698</v>
      </c>
    </row>
    <row r="404" spans="1:10" ht="15" x14ac:dyDescent="0.2">
      <c r="A404" s="337" t="s">
        <v>372</v>
      </c>
      <c r="B404" s="291">
        <v>29</v>
      </c>
      <c r="C404" s="291" t="s">
        <v>128</v>
      </c>
      <c r="D404" s="321">
        <v>281</v>
      </c>
      <c r="E404" s="303">
        <v>0</v>
      </c>
      <c r="F404" s="310">
        <f t="shared" ref="F404:F407" si="108">E404*D404</f>
        <v>0</v>
      </c>
      <c r="G404" s="322">
        <v>2</v>
      </c>
      <c r="H404" s="300">
        <f>360*0.05</f>
        <v>18</v>
      </c>
      <c r="I404" s="310">
        <f t="shared" ref="I404:I407" si="109">D404*H404</f>
        <v>5058</v>
      </c>
      <c r="J404" s="481">
        <f t="shared" ref="J404:J407" si="110">F404+I404</f>
        <v>5058</v>
      </c>
    </row>
    <row r="405" spans="1:10" ht="15" x14ac:dyDescent="0.2">
      <c r="A405" s="337" t="s">
        <v>191</v>
      </c>
      <c r="B405" s="291">
        <v>29</v>
      </c>
      <c r="C405" s="291" t="s">
        <v>128</v>
      </c>
      <c r="D405" s="321">
        <v>105</v>
      </c>
      <c r="E405" s="303">
        <v>0</v>
      </c>
      <c r="F405" s="310">
        <f t="shared" si="108"/>
        <v>0</v>
      </c>
      <c r="G405" s="322">
        <v>2</v>
      </c>
      <c r="H405" s="300">
        <f>360*0.05</f>
        <v>18</v>
      </c>
      <c r="I405" s="310">
        <f t="shared" si="109"/>
        <v>1890</v>
      </c>
      <c r="J405" s="481">
        <f t="shared" si="110"/>
        <v>1890</v>
      </c>
    </row>
    <row r="406" spans="1:10" ht="15" x14ac:dyDescent="0.2">
      <c r="A406" s="349" t="s">
        <v>348</v>
      </c>
      <c r="B406" s="350"/>
      <c r="C406" s="350" t="s">
        <v>44</v>
      </c>
      <c r="D406" s="554">
        <v>5000</v>
      </c>
      <c r="E406" s="455">
        <v>0</v>
      </c>
      <c r="F406" s="310">
        <f t="shared" si="108"/>
        <v>0</v>
      </c>
      <c r="G406" s="476">
        <v>2</v>
      </c>
      <c r="H406" s="463">
        <v>1</v>
      </c>
      <c r="I406" s="310">
        <f t="shared" si="109"/>
        <v>5000</v>
      </c>
      <c r="J406" s="481">
        <f t="shared" si="110"/>
        <v>5000</v>
      </c>
    </row>
    <row r="407" spans="1:10" ht="15.75" thickBot="1" x14ac:dyDescent="0.25">
      <c r="A407" s="345" t="s">
        <v>121</v>
      </c>
      <c r="B407" s="347">
        <v>262</v>
      </c>
      <c r="C407" s="347" t="s">
        <v>61</v>
      </c>
      <c r="D407" s="409">
        <v>35</v>
      </c>
      <c r="E407" s="439">
        <v>0</v>
      </c>
      <c r="F407" s="355">
        <f t="shared" si="108"/>
        <v>0</v>
      </c>
      <c r="G407" s="470">
        <v>2</v>
      </c>
      <c r="H407" s="439">
        <v>50</v>
      </c>
      <c r="I407" s="462">
        <f t="shared" si="109"/>
        <v>1750</v>
      </c>
      <c r="J407" s="487">
        <f t="shared" si="110"/>
        <v>1750</v>
      </c>
    </row>
    <row r="408" spans="1:10" ht="16.5" thickBot="1" x14ac:dyDescent="0.3">
      <c r="A408" s="904" t="str">
        <f>RRCC!D35</f>
        <v>4.2.1.15 Elaboración de Planes de Manejo para 200 hectáreas de SAF Biodiverso.</v>
      </c>
      <c r="B408" s="905"/>
      <c r="C408" s="905"/>
      <c r="D408" s="617"/>
      <c r="E408" s="450"/>
      <c r="F408" s="519">
        <f>SUM(F409:F418)</f>
        <v>0</v>
      </c>
      <c r="G408" s="571"/>
      <c r="H408" s="571"/>
      <c r="I408" s="519">
        <f>SUM(I409:I418)</f>
        <v>59841</v>
      </c>
      <c r="J408" s="519">
        <f t="shared" si="89"/>
        <v>59841</v>
      </c>
    </row>
    <row r="409" spans="1:10" ht="15" x14ac:dyDescent="0.2">
      <c r="A409" s="337" t="s">
        <v>198</v>
      </c>
      <c r="B409" s="291">
        <v>29</v>
      </c>
      <c r="C409" s="291" t="s">
        <v>128</v>
      </c>
      <c r="D409" s="321">
        <v>185</v>
      </c>
      <c r="E409" s="303">
        <v>0</v>
      </c>
      <c r="F409" s="312">
        <f t="shared" ref="F409:F418" si="111">E409*D409</f>
        <v>0</v>
      </c>
      <c r="G409" s="322">
        <v>2</v>
      </c>
      <c r="H409" s="300">
        <v>21</v>
      </c>
      <c r="I409" s="310">
        <f t="shared" ref="I409:I418" si="112">D409*H409</f>
        <v>3885</v>
      </c>
      <c r="J409" s="512">
        <f t="shared" ref="J409:J418" si="113">F409+I409</f>
        <v>3885</v>
      </c>
    </row>
    <row r="410" spans="1:10" ht="15" x14ac:dyDescent="0.2">
      <c r="A410" s="337" t="s">
        <v>184</v>
      </c>
      <c r="B410" s="291">
        <v>29</v>
      </c>
      <c r="C410" s="291" t="s">
        <v>128</v>
      </c>
      <c r="D410" s="321">
        <v>281</v>
      </c>
      <c r="E410" s="303">
        <v>0</v>
      </c>
      <c r="F410" s="312">
        <f t="shared" si="111"/>
        <v>0</v>
      </c>
      <c r="G410" s="322">
        <v>2</v>
      </c>
      <c r="H410" s="300">
        <v>21</v>
      </c>
      <c r="I410" s="310">
        <f t="shared" si="112"/>
        <v>5901</v>
      </c>
      <c r="J410" s="512">
        <f t="shared" si="113"/>
        <v>5901</v>
      </c>
    </row>
    <row r="411" spans="1:10" ht="15" x14ac:dyDescent="0.2">
      <c r="A411" s="337" t="s">
        <v>191</v>
      </c>
      <c r="B411" s="291">
        <v>29</v>
      </c>
      <c r="C411" s="291" t="s">
        <v>128</v>
      </c>
      <c r="D411" s="321">
        <v>105</v>
      </c>
      <c r="E411" s="303">
        <v>0</v>
      </c>
      <c r="F411" s="312">
        <f t="shared" si="111"/>
        <v>0</v>
      </c>
      <c r="G411" s="322">
        <v>2</v>
      </c>
      <c r="H411" s="300">
        <v>21</v>
      </c>
      <c r="I411" s="310">
        <f t="shared" si="112"/>
        <v>2205</v>
      </c>
      <c r="J411" s="512">
        <f t="shared" si="113"/>
        <v>2205</v>
      </c>
    </row>
    <row r="412" spans="1:10" ht="15" x14ac:dyDescent="0.2">
      <c r="A412" s="337" t="s">
        <v>373</v>
      </c>
      <c r="B412" s="291"/>
      <c r="C412" s="291" t="s">
        <v>128</v>
      </c>
      <c r="D412" s="321">
        <v>18000</v>
      </c>
      <c r="E412" s="303">
        <v>0</v>
      </c>
      <c r="F412" s="312">
        <f t="shared" si="111"/>
        <v>0</v>
      </c>
      <c r="G412" s="322"/>
      <c r="H412" s="300">
        <v>1</v>
      </c>
      <c r="I412" s="310">
        <f t="shared" si="112"/>
        <v>18000</v>
      </c>
      <c r="J412" s="512">
        <f t="shared" si="113"/>
        <v>18000</v>
      </c>
    </row>
    <row r="413" spans="1:10" ht="15" x14ac:dyDescent="0.2">
      <c r="A413" s="337" t="s">
        <v>121</v>
      </c>
      <c r="B413" s="291">
        <v>262</v>
      </c>
      <c r="C413" s="291" t="s">
        <v>61</v>
      </c>
      <c r="D413" s="321">
        <v>35</v>
      </c>
      <c r="E413" s="300">
        <v>0</v>
      </c>
      <c r="F413" s="312">
        <f t="shared" si="111"/>
        <v>0</v>
      </c>
      <c r="G413" s="322">
        <v>2</v>
      </c>
      <c r="H413" s="300">
        <v>120</v>
      </c>
      <c r="I413" s="310">
        <f t="shared" si="112"/>
        <v>4200</v>
      </c>
      <c r="J413" s="512">
        <f t="shared" si="113"/>
        <v>4200</v>
      </c>
    </row>
    <row r="414" spans="1:10" ht="15" x14ac:dyDescent="0.2">
      <c r="A414" s="337" t="s">
        <v>203</v>
      </c>
      <c r="B414" s="291">
        <v>211</v>
      </c>
      <c r="C414" s="291" t="s">
        <v>44</v>
      </c>
      <c r="D414" s="321">
        <v>60</v>
      </c>
      <c r="E414" s="300">
        <v>0</v>
      </c>
      <c r="F414" s="312">
        <f t="shared" si="111"/>
        <v>0</v>
      </c>
      <c r="G414" s="322">
        <v>2</v>
      </c>
      <c r="H414" s="300">
        <f>(5*2)*20</f>
        <v>200</v>
      </c>
      <c r="I414" s="310">
        <f t="shared" si="112"/>
        <v>12000</v>
      </c>
      <c r="J414" s="512">
        <f t="shared" si="113"/>
        <v>12000</v>
      </c>
    </row>
    <row r="415" spans="1:10" ht="15" x14ac:dyDescent="0.2">
      <c r="A415" s="338" t="s">
        <v>217</v>
      </c>
      <c r="B415" s="291">
        <v>353</v>
      </c>
      <c r="C415" s="291" t="s">
        <v>67</v>
      </c>
      <c r="D415" s="324">
        <v>50</v>
      </c>
      <c r="E415" s="300">
        <v>0</v>
      </c>
      <c r="F415" s="312">
        <f t="shared" si="111"/>
        <v>0</v>
      </c>
      <c r="G415" s="322">
        <v>2</v>
      </c>
      <c r="H415" s="300">
        <f>100</f>
        <v>100</v>
      </c>
      <c r="I415" s="310">
        <f t="shared" si="112"/>
        <v>5000</v>
      </c>
      <c r="J415" s="512">
        <f t="shared" si="113"/>
        <v>5000</v>
      </c>
    </row>
    <row r="416" spans="1:10" ht="15" x14ac:dyDescent="0.2">
      <c r="A416" s="337" t="s">
        <v>204</v>
      </c>
      <c r="B416" s="291">
        <v>267</v>
      </c>
      <c r="C416" s="291" t="s">
        <v>44</v>
      </c>
      <c r="D416" s="321">
        <v>450</v>
      </c>
      <c r="E416" s="300">
        <v>0</v>
      </c>
      <c r="F416" s="312">
        <f t="shared" si="111"/>
        <v>0</v>
      </c>
      <c r="G416" s="322">
        <v>2</v>
      </c>
      <c r="H416" s="300">
        <v>1</v>
      </c>
      <c r="I416" s="310">
        <f t="shared" si="112"/>
        <v>450</v>
      </c>
      <c r="J416" s="512">
        <f t="shared" si="113"/>
        <v>450</v>
      </c>
    </row>
    <row r="417" spans="1:10" ht="15" x14ac:dyDescent="0.2">
      <c r="A417" s="337" t="s">
        <v>84</v>
      </c>
      <c r="B417" s="291">
        <v>165</v>
      </c>
      <c r="C417" s="291" t="s">
        <v>44</v>
      </c>
      <c r="D417" s="321">
        <v>2000</v>
      </c>
      <c r="E417" s="300">
        <v>0</v>
      </c>
      <c r="F417" s="312">
        <f t="shared" si="111"/>
        <v>0</v>
      </c>
      <c r="G417" s="322">
        <v>2</v>
      </c>
      <c r="H417" s="300">
        <v>4</v>
      </c>
      <c r="I417" s="310">
        <f t="shared" si="112"/>
        <v>8000</v>
      </c>
      <c r="J417" s="512">
        <f t="shared" si="113"/>
        <v>8000</v>
      </c>
    </row>
    <row r="418" spans="1:10" ht="15.75" thickBot="1" x14ac:dyDescent="0.25">
      <c r="A418" s="337" t="s">
        <v>65</v>
      </c>
      <c r="B418" s="291">
        <v>241</v>
      </c>
      <c r="C418" s="291" t="s">
        <v>49</v>
      </c>
      <c r="D418" s="321">
        <v>50</v>
      </c>
      <c r="E418" s="300">
        <v>0</v>
      </c>
      <c r="F418" s="312">
        <f t="shared" si="111"/>
        <v>0</v>
      </c>
      <c r="G418" s="322">
        <v>2</v>
      </c>
      <c r="H418" s="300">
        <v>4</v>
      </c>
      <c r="I418" s="310">
        <f t="shared" si="112"/>
        <v>200</v>
      </c>
      <c r="J418" s="512">
        <f t="shared" si="113"/>
        <v>200</v>
      </c>
    </row>
    <row r="419" spans="1:10" ht="16.5" thickBot="1" x14ac:dyDescent="0.3">
      <c r="A419" s="904" t="str">
        <f>RRCC!D36</f>
        <v>4.2.1.16 Elaboración de Planes de Manejo para 100 hectáreas de Bosque Natural.</v>
      </c>
      <c r="B419" s="905"/>
      <c r="C419" s="905"/>
      <c r="D419" s="617"/>
      <c r="E419" s="450"/>
      <c r="F419" s="519">
        <f>SUM(F420:F428)</f>
        <v>0</v>
      </c>
      <c r="G419" s="571"/>
      <c r="H419" s="571"/>
      <c r="I419" s="519">
        <f>SUM(I420:I428)</f>
        <v>17344</v>
      </c>
      <c r="J419" s="519">
        <f t="shared" si="89"/>
        <v>17344</v>
      </c>
    </row>
    <row r="420" spans="1:10" ht="15" x14ac:dyDescent="0.2">
      <c r="A420" s="337" t="s">
        <v>198</v>
      </c>
      <c r="B420" s="291">
        <v>29</v>
      </c>
      <c r="C420" s="291" t="s">
        <v>128</v>
      </c>
      <c r="D420" s="321">
        <v>185</v>
      </c>
      <c r="E420" s="303">
        <v>0</v>
      </c>
      <c r="F420" s="312">
        <f t="shared" ref="F420:F428" si="114">E420*D420</f>
        <v>0</v>
      </c>
      <c r="G420" s="322">
        <v>2</v>
      </c>
      <c r="H420" s="300">
        <v>14</v>
      </c>
      <c r="I420" s="310">
        <f t="shared" ref="I420:I428" si="115">D420*H420</f>
        <v>2590</v>
      </c>
      <c r="J420" s="512">
        <f t="shared" ref="J420:J428" si="116">F420+I420</f>
        <v>2590</v>
      </c>
    </row>
    <row r="421" spans="1:10" ht="15" x14ac:dyDescent="0.2">
      <c r="A421" s="337" t="s">
        <v>184</v>
      </c>
      <c r="B421" s="291">
        <v>29</v>
      </c>
      <c r="C421" s="291" t="s">
        <v>128</v>
      </c>
      <c r="D421" s="321">
        <v>281</v>
      </c>
      <c r="E421" s="303">
        <v>0</v>
      </c>
      <c r="F421" s="312">
        <f t="shared" si="114"/>
        <v>0</v>
      </c>
      <c r="G421" s="322">
        <v>2</v>
      </c>
      <c r="H421" s="300">
        <v>14</v>
      </c>
      <c r="I421" s="310">
        <f t="shared" si="115"/>
        <v>3934</v>
      </c>
      <c r="J421" s="512">
        <f t="shared" si="116"/>
        <v>3934</v>
      </c>
    </row>
    <row r="422" spans="1:10" ht="15" x14ac:dyDescent="0.2">
      <c r="A422" s="337" t="s">
        <v>191</v>
      </c>
      <c r="B422" s="291">
        <v>29</v>
      </c>
      <c r="C422" s="291" t="s">
        <v>128</v>
      </c>
      <c r="D422" s="321">
        <v>105</v>
      </c>
      <c r="E422" s="303">
        <v>0</v>
      </c>
      <c r="F422" s="312">
        <f t="shared" si="114"/>
        <v>0</v>
      </c>
      <c r="G422" s="322">
        <v>2</v>
      </c>
      <c r="H422" s="300">
        <v>14</v>
      </c>
      <c r="I422" s="310">
        <f t="shared" si="115"/>
        <v>1470</v>
      </c>
      <c r="J422" s="512">
        <f t="shared" si="116"/>
        <v>1470</v>
      </c>
    </row>
    <row r="423" spans="1:10" ht="15" x14ac:dyDescent="0.2">
      <c r="A423" s="337" t="s">
        <v>121</v>
      </c>
      <c r="B423" s="291">
        <v>262</v>
      </c>
      <c r="C423" s="291" t="s">
        <v>61</v>
      </c>
      <c r="D423" s="321">
        <v>35</v>
      </c>
      <c r="E423" s="300">
        <v>0</v>
      </c>
      <c r="F423" s="312">
        <f t="shared" si="114"/>
        <v>0</v>
      </c>
      <c r="G423" s="322">
        <v>2</v>
      </c>
      <c r="H423" s="300">
        <v>30</v>
      </c>
      <c r="I423" s="310">
        <f t="shared" si="115"/>
        <v>1050</v>
      </c>
      <c r="J423" s="512">
        <f t="shared" si="116"/>
        <v>1050</v>
      </c>
    </row>
    <row r="424" spans="1:10" ht="15" x14ac:dyDescent="0.2">
      <c r="A424" s="337" t="s">
        <v>203</v>
      </c>
      <c r="B424" s="291">
        <v>211</v>
      </c>
      <c r="C424" s="291" t="s">
        <v>44</v>
      </c>
      <c r="D424" s="321">
        <v>30</v>
      </c>
      <c r="E424" s="300">
        <v>0</v>
      </c>
      <c r="F424" s="312">
        <f t="shared" si="114"/>
        <v>0</v>
      </c>
      <c r="G424" s="322">
        <v>2</v>
      </c>
      <c r="H424" s="300">
        <v>25</v>
      </c>
      <c r="I424" s="310">
        <f t="shared" si="115"/>
        <v>750</v>
      </c>
      <c r="J424" s="512">
        <f t="shared" si="116"/>
        <v>750</v>
      </c>
    </row>
    <row r="425" spans="1:10" ht="15" x14ac:dyDescent="0.2">
      <c r="A425" s="338" t="s">
        <v>217</v>
      </c>
      <c r="B425" s="291">
        <v>353</v>
      </c>
      <c r="C425" s="291" t="s">
        <v>67</v>
      </c>
      <c r="D425" s="324">
        <v>50</v>
      </c>
      <c r="E425" s="300">
        <v>0</v>
      </c>
      <c r="F425" s="312">
        <f t="shared" si="114"/>
        <v>0</v>
      </c>
      <c r="G425" s="322">
        <v>2</v>
      </c>
      <c r="H425" s="300">
        <f>100</f>
        <v>100</v>
      </c>
      <c r="I425" s="310">
        <f t="shared" si="115"/>
        <v>5000</v>
      </c>
      <c r="J425" s="512">
        <f t="shared" si="116"/>
        <v>5000</v>
      </c>
    </row>
    <row r="426" spans="1:10" ht="15" x14ac:dyDescent="0.2">
      <c r="A426" s="337" t="s">
        <v>204</v>
      </c>
      <c r="B426" s="291">
        <v>267</v>
      </c>
      <c r="C426" s="291" t="s">
        <v>44</v>
      </c>
      <c r="D426" s="321">
        <v>450</v>
      </c>
      <c r="E426" s="300">
        <v>0</v>
      </c>
      <c r="F426" s="312">
        <f t="shared" si="114"/>
        <v>0</v>
      </c>
      <c r="G426" s="322">
        <v>2</v>
      </c>
      <c r="H426" s="300">
        <v>1</v>
      </c>
      <c r="I426" s="310">
        <f t="shared" si="115"/>
        <v>450</v>
      </c>
      <c r="J426" s="512">
        <f t="shared" si="116"/>
        <v>450</v>
      </c>
    </row>
    <row r="427" spans="1:10" ht="15" x14ac:dyDescent="0.2">
      <c r="A427" s="337" t="s">
        <v>84</v>
      </c>
      <c r="B427" s="291">
        <v>165</v>
      </c>
      <c r="C427" s="291" t="s">
        <v>44</v>
      </c>
      <c r="D427" s="321">
        <v>2000</v>
      </c>
      <c r="E427" s="300">
        <v>0</v>
      </c>
      <c r="F427" s="312">
        <f t="shared" si="114"/>
        <v>0</v>
      </c>
      <c r="G427" s="322">
        <v>2</v>
      </c>
      <c r="H427" s="300">
        <v>1</v>
      </c>
      <c r="I427" s="310">
        <f t="shared" si="115"/>
        <v>2000</v>
      </c>
      <c r="J427" s="512">
        <f t="shared" si="116"/>
        <v>2000</v>
      </c>
    </row>
    <row r="428" spans="1:10" ht="15.75" thickBot="1" x14ac:dyDescent="0.25">
      <c r="A428" s="337" t="s">
        <v>65</v>
      </c>
      <c r="B428" s="291">
        <v>241</v>
      </c>
      <c r="C428" s="291" t="s">
        <v>49</v>
      </c>
      <c r="D428" s="321">
        <v>50</v>
      </c>
      <c r="E428" s="300">
        <v>0</v>
      </c>
      <c r="F428" s="312">
        <f t="shared" si="114"/>
        <v>0</v>
      </c>
      <c r="G428" s="322">
        <v>2</v>
      </c>
      <c r="H428" s="300">
        <v>2</v>
      </c>
      <c r="I428" s="310">
        <f t="shared" si="115"/>
        <v>100</v>
      </c>
      <c r="J428" s="512">
        <f t="shared" si="116"/>
        <v>100</v>
      </c>
    </row>
    <row r="429" spans="1:10" ht="16.5" thickBot="1" x14ac:dyDescent="0.3">
      <c r="A429" s="904" t="str">
        <f>RRCC!D37</f>
        <v xml:space="preserve"> 4.2.1.17 Seguimiento a la ejecución de proyectos PINPEP y Probosque (100 has. Arroyo Yaxchilán, 100 ZUE, 50 UMI).</v>
      </c>
      <c r="B429" s="905"/>
      <c r="C429" s="905"/>
      <c r="D429" s="617"/>
      <c r="E429" s="450"/>
      <c r="F429" s="519">
        <f>SUM(F430:F434)</f>
        <v>0</v>
      </c>
      <c r="G429" s="571"/>
      <c r="H429" s="571"/>
      <c r="I429" s="519">
        <f>SUM(I430:I434)</f>
        <v>14820.75</v>
      </c>
      <c r="J429" s="519">
        <f t="shared" si="89"/>
        <v>14820.75</v>
      </c>
    </row>
    <row r="430" spans="1:10" ht="15" x14ac:dyDescent="0.2">
      <c r="A430" s="337" t="s">
        <v>198</v>
      </c>
      <c r="B430" s="291">
        <v>29</v>
      </c>
      <c r="C430" s="291" t="s">
        <v>128</v>
      </c>
      <c r="D430" s="321">
        <v>185</v>
      </c>
      <c r="E430" s="303">
        <v>0</v>
      </c>
      <c r="F430" s="312">
        <f t="shared" ref="F430:F434" si="117">E430*D430</f>
        <v>0</v>
      </c>
      <c r="G430" s="322">
        <v>2</v>
      </c>
      <c r="H430" s="300">
        <f>365*0.05</f>
        <v>18.25</v>
      </c>
      <c r="I430" s="310">
        <f t="shared" ref="I430:I434" si="118">D430*H430</f>
        <v>3376.25</v>
      </c>
      <c r="J430" s="512">
        <f t="shared" ref="J430:J434" si="119">F430+I430</f>
        <v>3376.25</v>
      </c>
    </row>
    <row r="431" spans="1:10" ht="15" x14ac:dyDescent="0.2">
      <c r="A431" s="337" t="s">
        <v>184</v>
      </c>
      <c r="B431" s="291">
        <v>29</v>
      </c>
      <c r="C431" s="291" t="s">
        <v>128</v>
      </c>
      <c r="D431" s="321">
        <v>281</v>
      </c>
      <c r="E431" s="303">
        <v>0</v>
      </c>
      <c r="F431" s="312">
        <f t="shared" si="117"/>
        <v>0</v>
      </c>
      <c r="G431" s="322">
        <v>2</v>
      </c>
      <c r="H431" s="300">
        <f>365*0.05</f>
        <v>18.25</v>
      </c>
      <c r="I431" s="310">
        <f t="shared" si="118"/>
        <v>5128.25</v>
      </c>
      <c r="J431" s="512">
        <f t="shared" si="119"/>
        <v>5128.25</v>
      </c>
    </row>
    <row r="432" spans="1:10" ht="15" x14ac:dyDescent="0.2">
      <c r="A432" s="337" t="s">
        <v>191</v>
      </c>
      <c r="B432" s="291">
        <v>29</v>
      </c>
      <c r="C432" s="291" t="s">
        <v>128</v>
      </c>
      <c r="D432" s="321">
        <v>105</v>
      </c>
      <c r="E432" s="303">
        <v>0</v>
      </c>
      <c r="F432" s="312">
        <f t="shared" si="117"/>
        <v>0</v>
      </c>
      <c r="G432" s="322">
        <v>2</v>
      </c>
      <c r="H432" s="300">
        <f>365*0.05</f>
        <v>18.25</v>
      </c>
      <c r="I432" s="310">
        <f t="shared" si="118"/>
        <v>1916.25</v>
      </c>
      <c r="J432" s="512">
        <f t="shared" si="119"/>
        <v>1916.25</v>
      </c>
    </row>
    <row r="433" spans="1:10" ht="15" x14ac:dyDescent="0.2">
      <c r="A433" s="337" t="s">
        <v>121</v>
      </c>
      <c r="B433" s="291">
        <v>262</v>
      </c>
      <c r="C433" s="291" t="s">
        <v>61</v>
      </c>
      <c r="D433" s="321">
        <v>35</v>
      </c>
      <c r="E433" s="300">
        <v>0</v>
      </c>
      <c r="F433" s="312">
        <f t="shared" si="117"/>
        <v>0</v>
      </c>
      <c r="G433" s="322">
        <v>2</v>
      </c>
      <c r="H433" s="300">
        <v>40</v>
      </c>
      <c r="I433" s="310">
        <f t="shared" si="118"/>
        <v>1400</v>
      </c>
      <c r="J433" s="512">
        <f t="shared" si="119"/>
        <v>1400</v>
      </c>
    </row>
    <row r="434" spans="1:10" ht="15.75" thickBot="1" x14ac:dyDescent="0.25">
      <c r="A434" s="337" t="s">
        <v>203</v>
      </c>
      <c r="B434" s="291">
        <v>211</v>
      </c>
      <c r="C434" s="291" t="s">
        <v>44</v>
      </c>
      <c r="D434" s="321">
        <v>30</v>
      </c>
      <c r="E434" s="300">
        <v>0</v>
      </c>
      <c r="F434" s="312">
        <f t="shared" si="117"/>
        <v>0</v>
      </c>
      <c r="G434" s="322">
        <v>2</v>
      </c>
      <c r="H434" s="300">
        <v>100</v>
      </c>
      <c r="I434" s="310">
        <f t="shared" si="118"/>
        <v>3000</v>
      </c>
      <c r="J434" s="512">
        <f t="shared" si="119"/>
        <v>3000</v>
      </c>
    </row>
    <row r="435" spans="1:10" s="55" customFormat="1" ht="16.5" thickBot="1" x14ac:dyDescent="0.3">
      <c r="A435" s="904" t="str">
        <f>RRCC!D38</f>
        <v>4.2.1.27 Establecimiento de al menos 3 iniciativas productivas con los grupos de jovenes.</v>
      </c>
      <c r="B435" s="905"/>
      <c r="C435" s="905"/>
      <c r="D435" s="617"/>
      <c r="E435" s="450"/>
      <c r="F435" s="519">
        <f>SUM(F436:F442)</f>
        <v>0</v>
      </c>
      <c r="G435" s="571"/>
      <c r="H435" s="571"/>
      <c r="I435" s="519">
        <f>SUM(I436:I442)</f>
        <v>535125.5</v>
      </c>
      <c r="J435" s="519">
        <f t="shared" si="89"/>
        <v>535125.5</v>
      </c>
    </row>
    <row r="436" spans="1:10" s="55" customFormat="1" ht="15" x14ac:dyDescent="0.2">
      <c r="A436" s="352" t="s">
        <v>164</v>
      </c>
      <c r="B436" s="353">
        <v>11</v>
      </c>
      <c r="C436" s="353" t="s">
        <v>128</v>
      </c>
      <c r="D436" s="407">
        <v>557</v>
      </c>
      <c r="E436" s="442">
        <v>0</v>
      </c>
      <c r="F436" s="461">
        <f t="shared" ref="F436:F442" si="120">E436*D436</f>
        <v>0</v>
      </c>
      <c r="G436" s="472">
        <v>2</v>
      </c>
      <c r="H436" s="441">
        <f>360*0.65</f>
        <v>234</v>
      </c>
      <c r="I436" s="461">
        <f t="shared" ref="I436:I442" si="121">D436*H436</f>
        <v>130338</v>
      </c>
      <c r="J436" s="484">
        <f t="shared" ref="J436:J442" si="122">F436+I436</f>
        <v>130338</v>
      </c>
    </row>
    <row r="437" spans="1:10" s="55" customFormat="1" ht="15" x14ac:dyDescent="0.2">
      <c r="A437" s="337" t="s">
        <v>356</v>
      </c>
      <c r="B437" s="291">
        <v>29</v>
      </c>
      <c r="C437" s="291" t="s">
        <v>128</v>
      </c>
      <c r="D437" s="321">
        <v>385</v>
      </c>
      <c r="E437" s="300">
        <v>0</v>
      </c>
      <c r="F437" s="301">
        <f t="shared" si="120"/>
        <v>0</v>
      </c>
      <c r="G437" s="322">
        <v>2</v>
      </c>
      <c r="H437" s="300">
        <f>365*0.7</f>
        <v>255.49999999999997</v>
      </c>
      <c r="I437" s="310">
        <f t="shared" si="121"/>
        <v>98367.499999999985</v>
      </c>
      <c r="J437" s="486">
        <f t="shared" si="122"/>
        <v>98367.499999999985</v>
      </c>
    </row>
    <row r="438" spans="1:10" s="54" customFormat="1" ht="15" x14ac:dyDescent="0.2">
      <c r="A438" s="337" t="s">
        <v>191</v>
      </c>
      <c r="B438" s="291">
        <v>29</v>
      </c>
      <c r="C438" s="291" t="s">
        <v>128</v>
      </c>
      <c r="D438" s="321">
        <v>105</v>
      </c>
      <c r="E438" s="303">
        <v>0</v>
      </c>
      <c r="F438" s="310">
        <f t="shared" si="120"/>
        <v>0</v>
      </c>
      <c r="G438" s="322">
        <v>2</v>
      </c>
      <c r="H438" s="300">
        <f>360*0.7*2</f>
        <v>503.99999999999994</v>
      </c>
      <c r="I438" s="310">
        <f t="shared" si="121"/>
        <v>52919.999999999993</v>
      </c>
      <c r="J438" s="481">
        <f t="shared" si="122"/>
        <v>52919.999999999993</v>
      </c>
    </row>
    <row r="439" spans="1:10" s="54" customFormat="1" ht="15" x14ac:dyDescent="0.2">
      <c r="A439" s="349" t="s">
        <v>348</v>
      </c>
      <c r="B439" s="350"/>
      <c r="C439" s="350" t="s">
        <v>44</v>
      </c>
      <c r="D439" s="554">
        <v>50000</v>
      </c>
      <c r="E439" s="455">
        <v>0</v>
      </c>
      <c r="F439" s="310">
        <f t="shared" si="120"/>
        <v>0</v>
      </c>
      <c r="G439" s="476">
        <v>2</v>
      </c>
      <c r="H439" s="463">
        <v>3</v>
      </c>
      <c r="I439" s="310">
        <f t="shared" si="121"/>
        <v>150000</v>
      </c>
      <c r="J439" s="481">
        <f t="shared" si="122"/>
        <v>150000</v>
      </c>
    </row>
    <row r="440" spans="1:10" s="54" customFormat="1" ht="15" x14ac:dyDescent="0.2">
      <c r="A440" s="337" t="s">
        <v>121</v>
      </c>
      <c r="B440" s="291">
        <v>262</v>
      </c>
      <c r="C440" s="291" t="s">
        <v>61</v>
      </c>
      <c r="D440" s="321">
        <v>35</v>
      </c>
      <c r="E440" s="303">
        <v>0</v>
      </c>
      <c r="F440" s="310">
        <f t="shared" si="120"/>
        <v>0</v>
      </c>
      <c r="G440" s="322">
        <v>2</v>
      </c>
      <c r="H440" s="300">
        <v>900</v>
      </c>
      <c r="I440" s="310">
        <f t="shared" si="121"/>
        <v>31500</v>
      </c>
      <c r="J440" s="481">
        <f t="shared" si="122"/>
        <v>31500</v>
      </c>
    </row>
    <row r="441" spans="1:10" s="54" customFormat="1" ht="15" x14ac:dyDescent="0.2">
      <c r="A441" s="337" t="s">
        <v>203</v>
      </c>
      <c r="B441" s="291">
        <v>211</v>
      </c>
      <c r="C441" s="291" t="s">
        <v>44</v>
      </c>
      <c r="D441" s="321">
        <v>30</v>
      </c>
      <c r="E441" s="303">
        <v>0</v>
      </c>
      <c r="F441" s="310">
        <f t="shared" si="120"/>
        <v>0</v>
      </c>
      <c r="G441" s="322">
        <v>2</v>
      </c>
      <c r="H441" s="300">
        <v>2000</v>
      </c>
      <c r="I441" s="310">
        <f t="shared" si="121"/>
        <v>60000</v>
      </c>
      <c r="J441" s="481">
        <f t="shared" si="122"/>
        <v>60000</v>
      </c>
    </row>
    <row r="442" spans="1:10" s="54" customFormat="1" ht="15.75" thickBot="1" x14ac:dyDescent="0.25">
      <c r="A442" s="337" t="s">
        <v>84</v>
      </c>
      <c r="B442" s="291">
        <v>165</v>
      </c>
      <c r="C442" s="291" t="s">
        <v>44</v>
      </c>
      <c r="D442" s="321">
        <v>2000</v>
      </c>
      <c r="E442" s="300">
        <v>0</v>
      </c>
      <c r="F442" s="312">
        <f t="shared" si="120"/>
        <v>0</v>
      </c>
      <c r="G442" s="322">
        <v>2</v>
      </c>
      <c r="H442" s="300">
        <v>6</v>
      </c>
      <c r="I442" s="310">
        <f t="shared" si="121"/>
        <v>12000</v>
      </c>
      <c r="J442" s="512">
        <f t="shared" si="122"/>
        <v>12000</v>
      </c>
    </row>
    <row r="443" spans="1:10" s="54" customFormat="1" ht="16.5" thickBot="1" x14ac:dyDescent="0.3">
      <c r="A443" s="904" t="str">
        <f>RRCC!D39</f>
        <v>4.2.1.28 Financiamiento de al menos 3 iniciativas productivas (miel, cacao, madera)</v>
      </c>
      <c r="B443" s="905"/>
      <c r="C443" s="905"/>
      <c r="D443" s="617"/>
      <c r="E443" s="450"/>
      <c r="F443" s="519">
        <f>SUM(F444:F450)</f>
        <v>0</v>
      </c>
      <c r="G443" s="571"/>
      <c r="H443" s="571"/>
      <c r="I443" s="519">
        <f>SUM(I444:I450)</f>
        <v>375830</v>
      </c>
      <c r="J443" s="519">
        <f t="shared" si="89"/>
        <v>375830</v>
      </c>
    </row>
    <row r="444" spans="1:10" s="54" customFormat="1" ht="15" x14ac:dyDescent="0.2">
      <c r="A444" s="352" t="s">
        <v>164</v>
      </c>
      <c r="B444" s="353">
        <v>11</v>
      </c>
      <c r="C444" s="353" t="s">
        <v>128</v>
      </c>
      <c r="D444" s="407">
        <v>557</v>
      </c>
      <c r="E444" s="442">
        <v>0</v>
      </c>
      <c r="F444" s="461">
        <f t="shared" ref="F444:F450" si="123">E444*D444</f>
        <v>0</v>
      </c>
      <c r="G444" s="472">
        <v>2</v>
      </c>
      <c r="H444" s="441">
        <v>90</v>
      </c>
      <c r="I444" s="461">
        <f t="shared" ref="I444:I450" si="124">D444*H444</f>
        <v>50130</v>
      </c>
      <c r="J444" s="484">
        <f t="shared" ref="J444:J450" si="125">F444+I444</f>
        <v>50130</v>
      </c>
    </row>
    <row r="445" spans="1:10" s="54" customFormat="1" ht="15" x14ac:dyDescent="0.2">
      <c r="A445" s="338" t="s">
        <v>34</v>
      </c>
      <c r="B445" s="291" t="s">
        <v>170</v>
      </c>
      <c r="C445" s="291" t="s">
        <v>94</v>
      </c>
      <c r="D445" s="324">
        <v>715</v>
      </c>
      <c r="E445" s="300">
        <v>0</v>
      </c>
      <c r="F445" s="301">
        <f t="shared" si="123"/>
        <v>0</v>
      </c>
      <c r="G445" s="322">
        <v>2</v>
      </c>
      <c r="H445" s="300">
        <v>30</v>
      </c>
      <c r="I445" s="310">
        <f t="shared" si="124"/>
        <v>21450</v>
      </c>
      <c r="J445" s="486">
        <f t="shared" si="125"/>
        <v>21450</v>
      </c>
    </row>
    <row r="446" spans="1:10" s="54" customFormat="1" ht="15" x14ac:dyDescent="0.2">
      <c r="A446" s="337" t="s">
        <v>191</v>
      </c>
      <c r="B446" s="291">
        <v>29</v>
      </c>
      <c r="C446" s="291" t="s">
        <v>128</v>
      </c>
      <c r="D446" s="321">
        <v>105</v>
      </c>
      <c r="E446" s="303">
        <v>0</v>
      </c>
      <c r="F446" s="310">
        <f t="shared" si="123"/>
        <v>0</v>
      </c>
      <c r="G446" s="322">
        <v>2</v>
      </c>
      <c r="H446" s="300">
        <v>300</v>
      </c>
      <c r="I446" s="310">
        <f t="shared" si="124"/>
        <v>31500</v>
      </c>
      <c r="J446" s="481">
        <f t="shared" si="125"/>
        <v>31500</v>
      </c>
    </row>
    <row r="447" spans="1:10" s="54" customFormat="1" ht="15" x14ac:dyDescent="0.2">
      <c r="A447" s="349" t="s">
        <v>348</v>
      </c>
      <c r="B447" s="350"/>
      <c r="C447" s="350" t="s">
        <v>44</v>
      </c>
      <c r="D447" s="554">
        <v>100000</v>
      </c>
      <c r="E447" s="455">
        <v>0</v>
      </c>
      <c r="F447" s="310">
        <f t="shared" si="123"/>
        <v>0</v>
      </c>
      <c r="G447" s="476">
        <v>2</v>
      </c>
      <c r="H447" s="463">
        <v>2</v>
      </c>
      <c r="I447" s="310">
        <f t="shared" si="124"/>
        <v>200000</v>
      </c>
      <c r="J447" s="481">
        <f t="shared" si="125"/>
        <v>200000</v>
      </c>
    </row>
    <row r="448" spans="1:10" s="54" customFormat="1" ht="15" x14ac:dyDescent="0.2">
      <c r="A448" s="337" t="s">
        <v>121</v>
      </c>
      <c r="B448" s="291">
        <v>262</v>
      </c>
      <c r="C448" s="291" t="s">
        <v>61</v>
      </c>
      <c r="D448" s="321">
        <v>35</v>
      </c>
      <c r="E448" s="303">
        <v>0</v>
      </c>
      <c r="F448" s="310">
        <f t="shared" si="123"/>
        <v>0</v>
      </c>
      <c r="G448" s="322">
        <v>2</v>
      </c>
      <c r="H448" s="300">
        <v>450</v>
      </c>
      <c r="I448" s="310">
        <f t="shared" si="124"/>
        <v>15750</v>
      </c>
      <c r="J448" s="481">
        <f t="shared" si="125"/>
        <v>15750</v>
      </c>
    </row>
    <row r="449" spans="1:10" s="54" customFormat="1" ht="15" x14ac:dyDescent="0.2">
      <c r="A449" s="337" t="s">
        <v>203</v>
      </c>
      <c r="B449" s="291">
        <v>211</v>
      </c>
      <c r="C449" s="291" t="s">
        <v>44</v>
      </c>
      <c r="D449" s="321">
        <v>30</v>
      </c>
      <c r="E449" s="303">
        <v>0</v>
      </c>
      <c r="F449" s="310">
        <f t="shared" si="123"/>
        <v>0</v>
      </c>
      <c r="G449" s="322">
        <v>2</v>
      </c>
      <c r="H449" s="300">
        <v>1500</v>
      </c>
      <c r="I449" s="310">
        <f t="shared" si="124"/>
        <v>45000</v>
      </c>
      <c r="J449" s="481">
        <f t="shared" si="125"/>
        <v>45000</v>
      </c>
    </row>
    <row r="450" spans="1:10" s="54" customFormat="1" ht="15.75" thickBot="1" x14ac:dyDescent="0.25">
      <c r="A450" s="337" t="s">
        <v>84</v>
      </c>
      <c r="B450" s="291">
        <v>165</v>
      </c>
      <c r="C450" s="291" t="s">
        <v>44</v>
      </c>
      <c r="D450" s="321">
        <v>2000</v>
      </c>
      <c r="E450" s="300">
        <v>0</v>
      </c>
      <c r="F450" s="312">
        <f t="shared" si="123"/>
        <v>0</v>
      </c>
      <c r="G450" s="322">
        <v>2</v>
      </c>
      <c r="H450" s="300">
        <v>6</v>
      </c>
      <c r="I450" s="310">
        <f t="shared" si="124"/>
        <v>12000</v>
      </c>
      <c r="J450" s="512">
        <f t="shared" si="125"/>
        <v>12000</v>
      </c>
    </row>
    <row r="451" spans="1:10" s="54" customFormat="1" ht="16.5" thickBot="1" x14ac:dyDescent="0.25">
      <c r="A451" s="585" t="s">
        <v>236</v>
      </c>
      <c r="B451" s="585"/>
      <c r="C451" s="585"/>
      <c r="D451" s="586"/>
      <c r="E451" s="587"/>
      <c r="F451" s="588">
        <f>F452+F463+F472+F479+F485+F492+F500+F505</f>
        <v>0</v>
      </c>
      <c r="G451" s="589"/>
      <c r="H451" s="590"/>
      <c r="I451" s="591">
        <f>I452+I463+I472+I479+I485+I492+I500+I505</f>
        <v>437635.1</v>
      </c>
      <c r="J451" s="592">
        <f t="shared" si="89"/>
        <v>437635.1</v>
      </c>
    </row>
    <row r="452" spans="1:10" s="54" customFormat="1" ht="16.5" thickBot="1" x14ac:dyDescent="0.3">
      <c r="A452" s="904" t="str">
        <f>RRCC!D50</f>
        <v>4.3.1.1    Al menos 60 Eventos de Educación Ambiental dirigido a las escuelas y grupos organizados en el PNSL (trenes de aseo, huertos escolares, conservación biodiversidad, legislacion ambiental y celebración de días festivos).</v>
      </c>
      <c r="B452" s="905"/>
      <c r="C452" s="905"/>
      <c r="D452" s="391"/>
      <c r="E452" s="450"/>
      <c r="F452" s="519">
        <f>SUM(F453:F462)</f>
        <v>0</v>
      </c>
      <c r="G452" s="571"/>
      <c r="H452" s="571"/>
      <c r="I452" s="519">
        <f>SUM(I453:I462)</f>
        <v>50869</v>
      </c>
      <c r="J452" s="519">
        <f t="shared" si="89"/>
        <v>50869</v>
      </c>
    </row>
    <row r="453" spans="1:10" s="54" customFormat="1" ht="15" x14ac:dyDescent="0.2">
      <c r="A453" s="338" t="s">
        <v>186</v>
      </c>
      <c r="B453" s="291">
        <v>29</v>
      </c>
      <c r="C453" s="291" t="s">
        <v>94</v>
      </c>
      <c r="D453" s="321">
        <v>281</v>
      </c>
      <c r="E453" s="303">
        <v>0</v>
      </c>
      <c r="F453" s="310">
        <f t="shared" ref="F453:F462" si="126">E453*D453</f>
        <v>0</v>
      </c>
      <c r="G453" s="322">
        <v>2</v>
      </c>
      <c r="H453" s="300">
        <f>(2*4)*10</f>
        <v>80</v>
      </c>
      <c r="I453" s="310">
        <f t="shared" ref="I453:I462" si="127">D453*H453</f>
        <v>22480</v>
      </c>
      <c r="J453" s="486">
        <f t="shared" si="89"/>
        <v>22480</v>
      </c>
    </row>
    <row r="454" spans="1:10" s="54" customFormat="1" ht="15" x14ac:dyDescent="0.2">
      <c r="A454" s="337" t="s">
        <v>164</v>
      </c>
      <c r="B454" s="291">
        <v>11</v>
      </c>
      <c r="C454" s="291" t="s">
        <v>128</v>
      </c>
      <c r="D454" s="321">
        <v>557</v>
      </c>
      <c r="E454" s="303">
        <v>0</v>
      </c>
      <c r="F454" s="310">
        <f t="shared" si="126"/>
        <v>0</v>
      </c>
      <c r="G454" s="322">
        <v>2</v>
      </c>
      <c r="H454" s="300">
        <v>12</v>
      </c>
      <c r="I454" s="310">
        <f t="shared" si="127"/>
        <v>6684</v>
      </c>
      <c r="J454" s="486">
        <f t="shared" si="89"/>
        <v>6684</v>
      </c>
    </row>
    <row r="455" spans="1:10" s="54" customFormat="1" ht="15" x14ac:dyDescent="0.2">
      <c r="A455" s="337" t="s">
        <v>184</v>
      </c>
      <c r="B455" s="291">
        <v>29</v>
      </c>
      <c r="C455" s="291" t="s">
        <v>128</v>
      </c>
      <c r="D455" s="321">
        <v>105</v>
      </c>
      <c r="E455" s="303">
        <v>0</v>
      </c>
      <c r="F455" s="310">
        <f t="shared" si="126"/>
        <v>0</v>
      </c>
      <c r="G455" s="322">
        <v>2</v>
      </c>
      <c r="H455" s="300">
        <f>(2*4)*10</f>
        <v>80</v>
      </c>
      <c r="I455" s="310">
        <f t="shared" si="127"/>
        <v>8400</v>
      </c>
      <c r="J455" s="486">
        <f t="shared" si="89"/>
        <v>8400</v>
      </c>
    </row>
    <row r="456" spans="1:10" s="54" customFormat="1" ht="15" x14ac:dyDescent="0.2">
      <c r="A456" s="337" t="s">
        <v>191</v>
      </c>
      <c r="B456" s="291">
        <v>29</v>
      </c>
      <c r="C456" s="291" t="s">
        <v>128</v>
      </c>
      <c r="D456" s="321">
        <v>29</v>
      </c>
      <c r="E456" s="300">
        <v>0</v>
      </c>
      <c r="F456" s="310">
        <f t="shared" si="126"/>
        <v>0</v>
      </c>
      <c r="G456" s="322">
        <v>2</v>
      </c>
      <c r="H456" s="300">
        <f>(2*4)*10</f>
        <v>80</v>
      </c>
      <c r="I456" s="310">
        <f t="shared" si="127"/>
        <v>2320</v>
      </c>
      <c r="J456" s="486">
        <f t="shared" si="89"/>
        <v>2320</v>
      </c>
    </row>
    <row r="457" spans="1:10" s="54" customFormat="1" ht="15" x14ac:dyDescent="0.2">
      <c r="A457" s="337" t="s">
        <v>203</v>
      </c>
      <c r="B457" s="291">
        <v>211</v>
      </c>
      <c r="C457" s="291" t="s">
        <v>44</v>
      </c>
      <c r="D457" s="321">
        <v>10</v>
      </c>
      <c r="E457" s="300">
        <v>0</v>
      </c>
      <c r="F457" s="310">
        <f t="shared" si="126"/>
        <v>0</v>
      </c>
      <c r="G457" s="322">
        <v>2</v>
      </c>
      <c r="H457" s="300">
        <f>(4*3)*10</f>
        <v>120</v>
      </c>
      <c r="I457" s="310">
        <f t="shared" si="127"/>
        <v>1200</v>
      </c>
      <c r="J457" s="486">
        <f t="shared" si="89"/>
        <v>1200</v>
      </c>
    </row>
    <row r="458" spans="1:10" s="54" customFormat="1" ht="15" x14ac:dyDescent="0.2">
      <c r="A458" s="337" t="s">
        <v>121</v>
      </c>
      <c r="B458" s="291">
        <v>262</v>
      </c>
      <c r="C458" s="291" t="s">
        <v>61</v>
      </c>
      <c r="D458" s="321">
        <v>35</v>
      </c>
      <c r="E458" s="300">
        <v>0</v>
      </c>
      <c r="F458" s="310">
        <f t="shared" si="126"/>
        <v>0</v>
      </c>
      <c r="G458" s="322">
        <v>2</v>
      </c>
      <c r="H458" s="300">
        <v>1</v>
      </c>
      <c r="I458" s="310">
        <f t="shared" si="127"/>
        <v>35</v>
      </c>
      <c r="J458" s="486">
        <f t="shared" si="89"/>
        <v>35</v>
      </c>
    </row>
    <row r="459" spans="1:10" s="54" customFormat="1" ht="15" x14ac:dyDescent="0.2">
      <c r="A459" s="337" t="s">
        <v>204</v>
      </c>
      <c r="B459" s="291">
        <v>267</v>
      </c>
      <c r="C459" s="291" t="s">
        <v>44</v>
      </c>
      <c r="D459" s="321">
        <v>50</v>
      </c>
      <c r="E459" s="300">
        <v>0</v>
      </c>
      <c r="F459" s="310">
        <f t="shared" si="126"/>
        <v>0</v>
      </c>
      <c r="G459" s="322">
        <v>2</v>
      </c>
      <c r="H459" s="300">
        <v>2</v>
      </c>
      <c r="I459" s="310">
        <f t="shared" si="127"/>
        <v>100</v>
      </c>
      <c r="J459" s="486">
        <f t="shared" si="89"/>
        <v>100</v>
      </c>
    </row>
    <row r="460" spans="1:10" s="54" customFormat="1" ht="15" x14ac:dyDescent="0.2">
      <c r="A460" s="337" t="s">
        <v>84</v>
      </c>
      <c r="B460" s="291">
        <v>165</v>
      </c>
      <c r="C460" s="291" t="s">
        <v>44</v>
      </c>
      <c r="D460" s="321">
        <v>2000</v>
      </c>
      <c r="E460" s="300">
        <v>0</v>
      </c>
      <c r="F460" s="310">
        <f t="shared" si="126"/>
        <v>0</v>
      </c>
      <c r="G460" s="322">
        <v>2</v>
      </c>
      <c r="H460" s="300">
        <v>1</v>
      </c>
      <c r="I460" s="310">
        <f t="shared" si="127"/>
        <v>2000</v>
      </c>
      <c r="J460" s="486">
        <f t="shared" si="89"/>
        <v>2000</v>
      </c>
    </row>
    <row r="461" spans="1:10" s="54" customFormat="1" ht="15" x14ac:dyDescent="0.2">
      <c r="A461" s="337" t="s">
        <v>65</v>
      </c>
      <c r="B461" s="291">
        <v>241</v>
      </c>
      <c r="C461" s="291" t="s">
        <v>49</v>
      </c>
      <c r="D461" s="321">
        <v>50</v>
      </c>
      <c r="E461" s="303">
        <v>0</v>
      </c>
      <c r="F461" s="310">
        <f t="shared" si="126"/>
        <v>0</v>
      </c>
      <c r="G461" s="322">
        <v>2</v>
      </c>
      <c r="H461" s="300">
        <v>5</v>
      </c>
      <c r="I461" s="310">
        <f t="shared" si="127"/>
        <v>250</v>
      </c>
      <c r="J461" s="486">
        <f t="shared" si="89"/>
        <v>250</v>
      </c>
    </row>
    <row r="462" spans="1:10" s="54" customFormat="1" ht="15.75" thickBot="1" x14ac:dyDescent="0.25">
      <c r="A462" s="337" t="s">
        <v>198</v>
      </c>
      <c r="B462" s="291">
        <v>29</v>
      </c>
      <c r="C462" s="291" t="s">
        <v>128</v>
      </c>
      <c r="D462" s="321">
        <v>185</v>
      </c>
      <c r="E462" s="300">
        <v>0</v>
      </c>
      <c r="F462" s="310">
        <f t="shared" si="126"/>
        <v>0</v>
      </c>
      <c r="G462" s="322">
        <v>2</v>
      </c>
      <c r="H462" s="300">
        <f>(1*4)*10</f>
        <v>40</v>
      </c>
      <c r="I462" s="310">
        <f t="shared" si="127"/>
        <v>7400</v>
      </c>
      <c r="J462" s="486">
        <f t="shared" si="89"/>
        <v>7400</v>
      </c>
    </row>
    <row r="463" spans="1:10" s="54" customFormat="1" ht="16.5" thickBot="1" x14ac:dyDescent="0.3">
      <c r="A463" s="904" t="str">
        <f>RRCC!D51</f>
        <v>4.3.1..2    Al menos 4 Eventos de capacitación en 10 comunidades priorizadas del PNSL para informar y sensibilizar a promotores de planificacion familiar, comadronas y jóvenes multiplicadores sobre Salud Sexual y Reproductiva y métodos de planificación familiar.</v>
      </c>
      <c r="B463" s="905"/>
      <c r="C463" s="905"/>
      <c r="D463" s="391"/>
      <c r="E463" s="450"/>
      <c r="F463" s="519">
        <f t="shared" ref="F463" si="128">SUM(F464:F471)</f>
        <v>0</v>
      </c>
      <c r="G463" s="571"/>
      <c r="H463" s="571"/>
      <c r="I463" s="519">
        <f>SUM(I464:I471)</f>
        <v>33863.5</v>
      </c>
      <c r="J463" s="519">
        <f t="shared" si="89"/>
        <v>33863.5</v>
      </c>
    </row>
    <row r="464" spans="1:10" s="54" customFormat="1" ht="15" x14ac:dyDescent="0.2">
      <c r="A464" s="338" t="s">
        <v>186</v>
      </c>
      <c r="B464" s="291">
        <v>29</v>
      </c>
      <c r="C464" s="291" t="s">
        <v>94</v>
      </c>
      <c r="D464" s="321">
        <v>281</v>
      </c>
      <c r="E464" s="303">
        <v>0</v>
      </c>
      <c r="F464" s="310">
        <f t="shared" ref="F464:F504" si="129">E464*D464</f>
        <v>0</v>
      </c>
      <c r="G464" s="322">
        <v>2</v>
      </c>
      <c r="H464" s="300">
        <f>365*0.3</f>
        <v>109.5</v>
      </c>
      <c r="I464" s="310">
        <f t="shared" ref="I464:I504" si="130">D464*H464</f>
        <v>30769.5</v>
      </c>
      <c r="J464" s="481">
        <f t="shared" si="89"/>
        <v>30769.5</v>
      </c>
    </row>
    <row r="465" spans="1:10" s="54" customFormat="1" ht="15" x14ac:dyDescent="0.2">
      <c r="A465" s="337" t="s">
        <v>164</v>
      </c>
      <c r="B465" s="291">
        <v>11</v>
      </c>
      <c r="C465" s="291" t="s">
        <v>128</v>
      </c>
      <c r="D465" s="321">
        <v>557</v>
      </c>
      <c r="E465" s="303">
        <v>0</v>
      </c>
      <c r="F465" s="310">
        <f t="shared" si="129"/>
        <v>0</v>
      </c>
      <c r="G465" s="322">
        <v>2</v>
      </c>
      <c r="H465" s="300">
        <v>2</v>
      </c>
      <c r="I465" s="310">
        <f t="shared" si="130"/>
        <v>1114</v>
      </c>
      <c r="J465" s="481">
        <f t="shared" si="89"/>
        <v>1114</v>
      </c>
    </row>
    <row r="466" spans="1:10" s="54" customFormat="1" ht="37.15" customHeight="1" x14ac:dyDescent="0.2">
      <c r="A466" s="337" t="s">
        <v>184</v>
      </c>
      <c r="B466" s="291">
        <v>29</v>
      </c>
      <c r="C466" s="291" t="s">
        <v>128</v>
      </c>
      <c r="D466" s="321">
        <v>105</v>
      </c>
      <c r="E466" s="303">
        <v>0</v>
      </c>
      <c r="F466" s="310">
        <f t="shared" si="129"/>
        <v>0</v>
      </c>
      <c r="G466" s="322">
        <v>2</v>
      </c>
      <c r="H466" s="300">
        <v>2</v>
      </c>
      <c r="I466" s="310">
        <f t="shared" si="130"/>
        <v>210</v>
      </c>
      <c r="J466" s="481">
        <f t="shared" si="89"/>
        <v>210</v>
      </c>
    </row>
    <row r="467" spans="1:10" s="54" customFormat="1" ht="15" x14ac:dyDescent="0.2">
      <c r="A467" s="337" t="s">
        <v>191</v>
      </c>
      <c r="B467" s="291">
        <v>29</v>
      </c>
      <c r="C467" s="291" t="s">
        <v>128</v>
      </c>
      <c r="D467" s="321">
        <v>150</v>
      </c>
      <c r="E467" s="300">
        <v>0</v>
      </c>
      <c r="F467" s="310">
        <f t="shared" si="129"/>
        <v>0</v>
      </c>
      <c r="G467" s="322">
        <v>2</v>
      </c>
      <c r="H467" s="300">
        <v>4</v>
      </c>
      <c r="I467" s="310">
        <f t="shared" si="130"/>
        <v>600</v>
      </c>
      <c r="J467" s="481">
        <f t="shared" si="89"/>
        <v>600</v>
      </c>
    </row>
    <row r="468" spans="1:10" s="54" customFormat="1" ht="15" x14ac:dyDescent="0.2">
      <c r="A468" s="337" t="s">
        <v>121</v>
      </c>
      <c r="B468" s="291">
        <v>262</v>
      </c>
      <c r="C468" s="291" t="s">
        <v>61</v>
      </c>
      <c r="D468" s="321">
        <v>35</v>
      </c>
      <c r="E468" s="300">
        <v>0</v>
      </c>
      <c r="F468" s="310">
        <f t="shared" si="129"/>
        <v>0</v>
      </c>
      <c r="G468" s="322">
        <v>2</v>
      </c>
      <c r="H468" s="300">
        <v>20</v>
      </c>
      <c r="I468" s="310">
        <f t="shared" si="130"/>
        <v>700</v>
      </c>
      <c r="J468" s="481">
        <f t="shared" si="89"/>
        <v>700</v>
      </c>
    </row>
    <row r="469" spans="1:10" s="54" customFormat="1" ht="15" x14ac:dyDescent="0.2">
      <c r="A469" s="337" t="s">
        <v>204</v>
      </c>
      <c r="B469" s="291">
        <v>267</v>
      </c>
      <c r="C469" s="291" t="s">
        <v>44</v>
      </c>
      <c r="D469" s="321">
        <v>50</v>
      </c>
      <c r="E469" s="300">
        <v>0</v>
      </c>
      <c r="F469" s="310">
        <f t="shared" si="129"/>
        <v>0</v>
      </c>
      <c r="G469" s="322">
        <v>2</v>
      </c>
      <c r="H469" s="300">
        <v>1</v>
      </c>
      <c r="I469" s="310">
        <f t="shared" si="130"/>
        <v>50</v>
      </c>
      <c r="J469" s="481">
        <f t="shared" si="89"/>
        <v>50</v>
      </c>
    </row>
    <row r="470" spans="1:10" s="54" customFormat="1" ht="15" x14ac:dyDescent="0.2">
      <c r="A470" s="337" t="s">
        <v>65</v>
      </c>
      <c r="B470" s="291">
        <v>241</v>
      </c>
      <c r="C470" s="291" t="s">
        <v>49</v>
      </c>
      <c r="D470" s="321">
        <v>50</v>
      </c>
      <c r="E470" s="303">
        <v>0</v>
      </c>
      <c r="F470" s="310">
        <f t="shared" si="129"/>
        <v>0</v>
      </c>
      <c r="G470" s="322">
        <v>2</v>
      </c>
      <c r="H470" s="300">
        <v>1</v>
      </c>
      <c r="I470" s="310">
        <f t="shared" si="130"/>
        <v>50</v>
      </c>
      <c r="J470" s="481">
        <f t="shared" si="89"/>
        <v>50</v>
      </c>
    </row>
    <row r="471" spans="1:10" s="54" customFormat="1" ht="15.75" thickBot="1" x14ac:dyDescent="0.25">
      <c r="A471" s="337" t="s">
        <v>198</v>
      </c>
      <c r="B471" s="291">
        <v>29</v>
      </c>
      <c r="C471" s="291" t="s">
        <v>128</v>
      </c>
      <c r="D471" s="321">
        <v>185</v>
      </c>
      <c r="E471" s="300">
        <v>0</v>
      </c>
      <c r="F471" s="310">
        <f t="shared" si="129"/>
        <v>0</v>
      </c>
      <c r="G471" s="322">
        <v>2</v>
      </c>
      <c r="H471" s="300">
        <v>2</v>
      </c>
      <c r="I471" s="310">
        <f t="shared" si="130"/>
        <v>370</v>
      </c>
      <c r="J471" s="481">
        <f t="shared" si="89"/>
        <v>370</v>
      </c>
    </row>
    <row r="472" spans="1:10" s="54" customFormat="1" ht="16.5" thickBot="1" x14ac:dyDescent="0.3">
      <c r="A472" s="904" t="str">
        <f>RRCC!D52</f>
        <v>4.3.1.3  Al menos 2 Eventos de capacitación a 61 maestros de 10 comunidades priorizadas del PNSL para impartir metodología participativa, conocimiento de currilulum nacional base, herramientas de aprendizaje y técnicas de evaluación en el aula. Coordinada con DIDEDUC</v>
      </c>
      <c r="B472" s="905"/>
      <c r="C472" s="905"/>
      <c r="D472" s="617"/>
      <c r="E472" s="450"/>
      <c r="F472" s="519">
        <f>SUM(F473:F478)</f>
        <v>0</v>
      </c>
      <c r="G472" s="571"/>
      <c r="H472" s="571"/>
      <c r="I472" s="519">
        <f>SUM(I473:I478)</f>
        <v>117680</v>
      </c>
      <c r="J472" s="519">
        <f t="shared" si="89"/>
        <v>117680</v>
      </c>
    </row>
    <row r="473" spans="1:10" s="54" customFormat="1" ht="15" x14ac:dyDescent="0.2">
      <c r="A473" s="338" t="s">
        <v>186</v>
      </c>
      <c r="B473" s="291">
        <v>29</v>
      </c>
      <c r="C473" s="291" t="s">
        <v>94</v>
      </c>
      <c r="D473" s="321">
        <v>281</v>
      </c>
      <c r="E473" s="303">
        <v>0</v>
      </c>
      <c r="F473" s="310">
        <f t="shared" ref="F473:F478" si="131">E473*D473</f>
        <v>0</v>
      </c>
      <c r="G473" s="322">
        <v>2</v>
      </c>
      <c r="H473" s="300">
        <v>30</v>
      </c>
      <c r="I473" s="310">
        <f t="shared" ref="I473:I478" si="132">D473*H473</f>
        <v>8430</v>
      </c>
      <c r="J473" s="481">
        <f t="shared" ref="J473:J478" si="133">F473+I473</f>
        <v>8430</v>
      </c>
    </row>
    <row r="474" spans="1:10" s="54" customFormat="1" ht="15" x14ac:dyDescent="0.2">
      <c r="A474" s="337" t="s">
        <v>191</v>
      </c>
      <c r="B474" s="291">
        <v>29</v>
      </c>
      <c r="C474" s="291" t="s">
        <v>128</v>
      </c>
      <c r="D474" s="321">
        <v>150</v>
      </c>
      <c r="E474" s="300">
        <v>0</v>
      </c>
      <c r="F474" s="310">
        <f t="shared" si="131"/>
        <v>0</v>
      </c>
      <c r="G474" s="322">
        <v>2</v>
      </c>
      <c r="H474" s="300">
        <v>30</v>
      </c>
      <c r="I474" s="310">
        <f t="shared" si="132"/>
        <v>4500</v>
      </c>
      <c r="J474" s="481">
        <f t="shared" si="133"/>
        <v>4500</v>
      </c>
    </row>
    <row r="475" spans="1:10" s="54" customFormat="1" ht="15" x14ac:dyDescent="0.2">
      <c r="A475" s="337" t="s">
        <v>121</v>
      </c>
      <c r="B475" s="291">
        <v>262</v>
      </c>
      <c r="C475" s="291" t="s">
        <v>61</v>
      </c>
      <c r="D475" s="321">
        <v>35</v>
      </c>
      <c r="E475" s="300">
        <v>0</v>
      </c>
      <c r="F475" s="310">
        <f t="shared" si="131"/>
        <v>0</v>
      </c>
      <c r="G475" s="322">
        <v>2</v>
      </c>
      <c r="H475" s="300">
        <v>400</v>
      </c>
      <c r="I475" s="310">
        <f t="shared" si="132"/>
        <v>14000</v>
      </c>
      <c r="J475" s="481">
        <f t="shared" si="133"/>
        <v>14000</v>
      </c>
    </row>
    <row r="476" spans="1:10" s="54" customFormat="1" ht="15" x14ac:dyDescent="0.2">
      <c r="A476" s="337" t="s">
        <v>203</v>
      </c>
      <c r="B476" s="291">
        <v>211</v>
      </c>
      <c r="C476" s="291" t="s">
        <v>44</v>
      </c>
      <c r="D476" s="321">
        <v>75</v>
      </c>
      <c r="E476" s="300">
        <v>0</v>
      </c>
      <c r="F476" s="310">
        <f t="shared" si="131"/>
        <v>0</v>
      </c>
      <c r="G476" s="322">
        <v>2</v>
      </c>
      <c r="H476" s="300">
        <v>1200</v>
      </c>
      <c r="I476" s="310">
        <f t="shared" si="132"/>
        <v>90000</v>
      </c>
      <c r="J476" s="486">
        <f t="shared" si="133"/>
        <v>90000</v>
      </c>
    </row>
    <row r="477" spans="1:10" s="54" customFormat="1" ht="15" x14ac:dyDescent="0.2">
      <c r="A477" s="337" t="s">
        <v>204</v>
      </c>
      <c r="B477" s="291">
        <v>267</v>
      </c>
      <c r="C477" s="291" t="s">
        <v>44</v>
      </c>
      <c r="D477" s="321">
        <v>50</v>
      </c>
      <c r="E477" s="300">
        <v>0</v>
      </c>
      <c r="F477" s="310">
        <f t="shared" si="131"/>
        <v>0</v>
      </c>
      <c r="G477" s="322">
        <v>2</v>
      </c>
      <c r="H477" s="300">
        <v>5</v>
      </c>
      <c r="I477" s="310">
        <f t="shared" si="132"/>
        <v>250</v>
      </c>
      <c r="J477" s="481">
        <f t="shared" si="133"/>
        <v>250</v>
      </c>
    </row>
    <row r="478" spans="1:10" s="54" customFormat="1" ht="15.75" thickBot="1" x14ac:dyDescent="0.25">
      <c r="A478" s="337" t="s">
        <v>65</v>
      </c>
      <c r="B478" s="291">
        <v>241</v>
      </c>
      <c r="C478" s="291" t="s">
        <v>49</v>
      </c>
      <c r="D478" s="321">
        <v>50</v>
      </c>
      <c r="E478" s="303">
        <v>0</v>
      </c>
      <c r="F478" s="310">
        <f t="shared" si="131"/>
        <v>0</v>
      </c>
      <c r="G478" s="322">
        <v>2</v>
      </c>
      <c r="H478" s="300">
        <v>10</v>
      </c>
      <c r="I478" s="310">
        <f t="shared" si="132"/>
        <v>500</v>
      </c>
      <c r="J478" s="481">
        <f t="shared" si="133"/>
        <v>500</v>
      </c>
    </row>
    <row r="479" spans="1:10" s="54" customFormat="1" ht="16.5" thickBot="1" x14ac:dyDescent="0.3">
      <c r="A479" s="904" t="str">
        <f>RRCC!D53</f>
        <v>4.3.1.4   2 Eventos de capacitación a 20 jóvenes multiplicadores de 10 comunidades priorizadas del PNSL  sobre temas de educación ambiental las cuales seran replicadas con jovenes no escolarizados del PNSL</v>
      </c>
      <c r="B479" s="905"/>
      <c r="C479" s="905"/>
      <c r="D479" s="617"/>
      <c r="E479" s="450"/>
      <c r="F479" s="519">
        <f>SUM(F480:F484)</f>
        <v>0</v>
      </c>
      <c r="G479" s="571"/>
      <c r="H479" s="571"/>
      <c r="I479" s="519">
        <f>SUM(I480:I484)</f>
        <v>4326.2999999999993</v>
      </c>
      <c r="J479" s="519">
        <f t="shared" si="89"/>
        <v>4326.2999999999993</v>
      </c>
    </row>
    <row r="480" spans="1:10" s="54" customFormat="1" ht="15" x14ac:dyDescent="0.2">
      <c r="A480" s="338" t="s">
        <v>186</v>
      </c>
      <c r="B480" s="291">
        <v>29</v>
      </c>
      <c r="C480" s="291" t="s">
        <v>94</v>
      </c>
      <c r="D480" s="321">
        <v>281</v>
      </c>
      <c r="E480" s="303">
        <v>0</v>
      </c>
      <c r="F480" s="310">
        <f t="shared" ref="F480:F484" si="134">E480*D480</f>
        <v>0</v>
      </c>
      <c r="G480" s="322">
        <v>2</v>
      </c>
      <c r="H480" s="300">
        <f>365*0.02</f>
        <v>7.3</v>
      </c>
      <c r="I480" s="310">
        <f t="shared" ref="I480:I484" si="135">D480*H480</f>
        <v>2051.2999999999997</v>
      </c>
      <c r="J480" s="481">
        <f t="shared" ref="J480:J484" si="136">F480+I480</f>
        <v>2051.2999999999997</v>
      </c>
    </row>
    <row r="481" spans="1:12" s="54" customFormat="1" ht="15" x14ac:dyDescent="0.2">
      <c r="A481" s="337" t="s">
        <v>191</v>
      </c>
      <c r="B481" s="291">
        <v>29</v>
      </c>
      <c r="C481" s="291" t="s">
        <v>128</v>
      </c>
      <c r="D481" s="321">
        <v>150</v>
      </c>
      <c r="E481" s="300">
        <v>0</v>
      </c>
      <c r="F481" s="310">
        <f t="shared" si="134"/>
        <v>0</v>
      </c>
      <c r="G481" s="322">
        <v>2</v>
      </c>
      <c r="H481" s="300">
        <v>4</v>
      </c>
      <c r="I481" s="310">
        <f t="shared" si="135"/>
        <v>600</v>
      </c>
      <c r="J481" s="481">
        <f t="shared" si="136"/>
        <v>600</v>
      </c>
    </row>
    <row r="482" spans="1:12" s="54" customFormat="1" ht="15" x14ac:dyDescent="0.2">
      <c r="A482" s="337" t="s">
        <v>121</v>
      </c>
      <c r="B482" s="291">
        <v>262</v>
      </c>
      <c r="C482" s="291" t="s">
        <v>61</v>
      </c>
      <c r="D482" s="321">
        <v>35</v>
      </c>
      <c r="E482" s="300">
        <v>0</v>
      </c>
      <c r="F482" s="310">
        <f t="shared" si="134"/>
        <v>0</v>
      </c>
      <c r="G482" s="322">
        <v>2</v>
      </c>
      <c r="H482" s="300">
        <v>45</v>
      </c>
      <c r="I482" s="310">
        <f t="shared" si="135"/>
        <v>1575</v>
      </c>
      <c r="J482" s="481">
        <f t="shared" si="136"/>
        <v>1575</v>
      </c>
    </row>
    <row r="483" spans="1:12" s="54" customFormat="1" ht="15" x14ac:dyDescent="0.2">
      <c r="A483" s="337" t="s">
        <v>204</v>
      </c>
      <c r="B483" s="291">
        <v>267</v>
      </c>
      <c r="C483" s="291" t="s">
        <v>44</v>
      </c>
      <c r="D483" s="321">
        <v>50</v>
      </c>
      <c r="E483" s="300">
        <v>0</v>
      </c>
      <c r="F483" s="310">
        <f t="shared" si="134"/>
        <v>0</v>
      </c>
      <c r="G483" s="322">
        <v>2</v>
      </c>
      <c r="H483" s="300">
        <v>1</v>
      </c>
      <c r="I483" s="310">
        <f t="shared" si="135"/>
        <v>50</v>
      </c>
      <c r="J483" s="481">
        <f t="shared" si="136"/>
        <v>50</v>
      </c>
    </row>
    <row r="484" spans="1:12" s="54" customFormat="1" ht="15.75" thickBot="1" x14ac:dyDescent="0.25">
      <c r="A484" s="337" t="s">
        <v>65</v>
      </c>
      <c r="B484" s="291">
        <v>241</v>
      </c>
      <c r="C484" s="291" t="s">
        <v>49</v>
      </c>
      <c r="D484" s="321">
        <v>50</v>
      </c>
      <c r="E484" s="303">
        <v>0</v>
      </c>
      <c r="F484" s="310">
        <f t="shared" si="134"/>
        <v>0</v>
      </c>
      <c r="G484" s="322">
        <v>2</v>
      </c>
      <c r="H484" s="300">
        <v>1</v>
      </c>
      <c r="I484" s="310">
        <f t="shared" si="135"/>
        <v>50</v>
      </c>
      <c r="J484" s="481">
        <f t="shared" si="136"/>
        <v>50</v>
      </c>
    </row>
    <row r="485" spans="1:12" s="54" customFormat="1" ht="16.5" thickBot="1" x14ac:dyDescent="0.3">
      <c r="A485" s="904" t="str">
        <f>RRCC!D54</f>
        <v xml:space="preserve">4.3.1.5   Al menos 10 Eventos de lectura a 180 niños de 10 comunidades priorizadas del PNSL  con la finalidad de fomentar la lectoescritura y formas estudiantes con interpretación y análsis critico para un mejor desarrollo a nivel escolar. </v>
      </c>
      <c r="B485" s="905"/>
      <c r="C485" s="905"/>
      <c r="D485" s="617"/>
      <c r="E485" s="450"/>
      <c r="F485" s="519">
        <f>SUM(F486:F491)</f>
        <v>0</v>
      </c>
      <c r="G485" s="571"/>
      <c r="H485" s="571"/>
      <c r="I485" s="519">
        <f>SUM(I486:I491)</f>
        <v>6826.2999999999993</v>
      </c>
      <c r="J485" s="519">
        <f t="shared" si="89"/>
        <v>6826.2999999999993</v>
      </c>
    </row>
    <row r="486" spans="1:12" s="54" customFormat="1" ht="15" x14ac:dyDescent="0.2">
      <c r="A486" s="338" t="s">
        <v>186</v>
      </c>
      <c r="B486" s="291">
        <v>29</v>
      </c>
      <c r="C486" s="291" t="s">
        <v>94</v>
      </c>
      <c r="D486" s="321">
        <v>281</v>
      </c>
      <c r="E486" s="303">
        <v>0</v>
      </c>
      <c r="F486" s="310">
        <f t="shared" ref="F486:F491" si="137">E486*D486</f>
        <v>0</v>
      </c>
      <c r="G486" s="322">
        <v>2</v>
      </c>
      <c r="H486" s="300">
        <f>365*0.02</f>
        <v>7.3</v>
      </c>
      <c r="I486" s="310">
        <f t="shared" ref="I486:I491" si="138">D486*H486</f>
        <v>2051.2999999999997</v>
      </c>
      <c r="J486" s="481">
        <f t="shared" ref="J486:J491" si="139">F486+I486</f>
        <v>2051.2999999999997</v>
      </c>
    </row>
    <row r="487" spans="1:12" s="54" customFormat="1" ht="15" x14ac:dyDescent="0.2">
      <c r="A487" s="337" t="s">
        <v>191</v>
      </c>
      <c r="B487" s="291">
        <v>29</v>
      </c>
      <c r="C487" s="291" t="s">
        <v>128</v>
      </c>
      <c r="D487" s="321">
        <v>150</v>
      </c>
      <c r="E487" s="300">
        <v>0</v>
      </c>
      <c r="F487" s="310">
        <f t="shared" si="137"/>
        <v>0</v>
      </c>
      <c r="G487" s="322">
        <v>2</v>
      </c>
      <c r="H487" s="300">
        <v>4</v>
      </c>
      <c r="I487" s="310">
        <f t="shared" si="138"/>
        <v>600</v>
      </c>
      <c r="J487" s="481">
        <f t="shared" si="139"/>
        <v>600</v>
      </c>
    </row>
    <row r="488" spans="1:12" s="54" customFormat="1" ht="15" x14ac:dyDescent="0.2">
      <c r="A488" s="337" t="s">
        <v>121</v>
      </c>
      <c r="B488" s="291">
        <v>262</v>
      </c>
      <c r="C488" s="291" t="s">
        <v>61</v>
      </c>
      <c r="D488" s="321">
        <v>35</v>
      </c>
      <c r="E488" s="300">
        <v>0</v>
      </c>
      <c r="F488" s="310">
        <f t="shared" si="137"/>
        <v>0</v>
      </c>
      <c r="G488" s="322">
        <v>2</v>
      </c>
      <c r="H488" s="300">
        <v>45</v>
      </c>
      <c r="I488" s="310">
        <f t="shared" si="138"/>
        <v>1575</v>
      </c>
      <c r="J488" s="481">
        <f t="shared" si="139"/>
        <v>1575</v>
      </c>
    </row>
    <row r="489" spans="1:12" s="54" customFormat="1" ht="15" x14ac:dyDescent="0.2">
      <c r="A489" s="337" t="s">
        <v>204</v>
      </c>
      <c r="B489" s="291">
        <v>267</v>
      </c>
      <c r="C489" s="291" t="s">
        <v>44</v>
      </c>
      <c r="D489" s="321">
        <v>50</v>
      </c>
      <c r="E489" s="300">
        <v>0</v>
      </c>
      <c r="F489" s="310">
        <f t="shared" si="137"/>
        <v>0</v>
      </c>
      <c r="G489" s="322">
        <v>2</v>
      </c>
      <c r="H489" s="300">
        <v>1</v>
      </c>
      <c r="I489" s="310">
        <f t="shared" si="138"/>
        <v>50</v>
      </c>
      <c r="J489" s="481">
        <f t="shared" si="139"/>
        <v>50</v>
      </c>
    </row>
    <row r="490" spans="1:12" s="54" customFormat="1" ht="15" x14ac:dyDescent="0.2">
      <c r="A490" s="337" t="s">
        <v>65</v>
      </c>
      <c r="B490" s="291">
        <v>241</v>
      </c>
      <c r="C490" s="291" t="s">
        <v>49</v>
      </c>
      <c r="D490" s="321">
        <v>50</v>
      </c>
      <c r="E490" s="303">
        <v>0</v>
      </c>
      <c r="F490" s="310">
        <f t="shared" si="137"/>
        <v>0</v>
      </c>
      <c r="G490" s="322">
        <v>2</v>
      </c>
      <c r="H490" s="300">
        <v>1</v>
      </c>
      <c r="I490" s="310">
        <f t="shared" si="138"/>
        <v>50</v>
      </c>
      <c r="J490" s="481">
        <f t="shared" si="139"/>
        <v>50</v>
      </c>
    </row>
    <row r="491" spans="1:12" s="54" customFormat="1" ht="15.75" thickBot="1" x14ac:dyDescent="0.25">
      <c r="A491" s="337" t="s">
        <v>203</v>
      </c>
      <c r="B491" s="291">
        <v>211</v>
      </c>
      <c r="C491" s="291" t="s">
        <v>44</v>
      </c>
      <c r="D491" s="321">
        <v>10</v>
      </c>
      <c r="E491" s="300">
        <v>0</v>
      </c>
      <c r="F491" s="301">
        <f t="shared" si="137"/>
        <v>0</v>
      </c>
      <c r="G491" s="322">
        <v>2</v>
      </c>
      <c r="H491" s="546">
        <v>250</v>
      </c>
      <c r="I491" s="310">
        <f t="shared" si="138"/>
        <v>2500</v>
      </c>
      <c r="J491" s="481">
        <f t="shared" si="139"/>
        <v>2500</v>
      </c>
    </row>
    <row r="492" spans="1:12" s="55" customFormat="1" ht="60.95" customHeight="1" thickBot="1" x14ac:dyDescent="0.3">
      <c r="A492" s="904" t="str">
        <f>+RRCC!D55</f>
        <v>4.3.1.6     Al menos 400 Charlas de sensibilizacion y formacion dirigida a jovenes no escolarizados en temas de salud sexual y reproductiva</v>
      </c>
      <c r="B492" s="905"/>
      <c r="C492" s="905"/>
      <c r="D492" s="391"/>
      <c r="E492" s="450"/>
      <c r="F492" s="519">
        <f>SUM(F493:F499)</f>
        <v>0</v>
      </c>
      <c r="G492" s="571"/>
      <c r="H492" s="571"/>
      <c r="I492" s="519">
        <f>SUM(I493:I499)</f>
        <v>40735</v>
      </c>
      <c r="J492" s="519">
        <f t="shared" si="89"/>
        <v>40735</v>
      </c>
      <c r="K492" s="84"/>
      <c r="L492" s="84"/>
    </row>
    <row r="493" spans="1:12" s="55" customFormat="1" ht="15" x14ac:dyDescent="0.2">
      <c r="A493" s="337" t="s">
        <v>346</v>
      </c>
      <c r="B493" s="291">
        <v>11</v>
      </c>
      <c r="C493" s="291" t="s">
        <v>128</v>
      </c>
      <c r="D493" s="321">
        <v>557</v>
      </c>
      <c r="E493" s="303">
        <v>0</v>
      </c>
      <c r="F493" s="310">
        <f t="shared" ref="F493:F499" si="140">E493*D493</f>
        <v>0</v>
      </c>
      <c r="G493" s="322">
        <v>2</v>
      </c>
      <c r="H493" s="300">
        <v>30</v>
      </c>
      <c r="I493" s="310">
        <f t="shared" ref="I493:I499" si="141">D493*H493</f>
        <v>16710</v>
      </c>
      <c r="J493" s="481">
        <f t="shared" ref="J493:J499" si="142">F493+I493</f>
        <v>16710</v>
      </c>
      <c r="K493" s="84"/>
      <c r="L493" s="84"/>
    </row>
    <row r="494" spans="1:12" s="54" customFormat="1" ht="15" x14ac:dyDescent="0.2">
      <c r="A494" s="337" t="s">
        <v>184</v>
      </c>
      <c r="B494" s="291">
        <v>29</v>
      </c>
      <c r="C494" s="291" t="s">
        <v>128</v>
      </c>
      <c r="D494" s="321">
        <v>105</v>
      </c>
      <c r="E494" s="303">
        <v>0</v>
      </c>
      <c r="F494" s="310">
        <f t="shared" si="140"/>
        <v>0</v>
      </c>
      <c r="G494" s="322">
        <v>2</v>
      </c>
      <c r="H494" s="300">
        <v>15</v>
      </c>
      <c r="I494" s="310">
        <f t="shared" si="141"/>
        <v>1575</v>
      </c>
      <c r="J494" s="481">
        <f t="shared" si="142"/>
        <v>1575</v>
      </c>
    </row>
    <row r="495" spans="1:12" s="54" customFormat="1" ht="15" x14ac:dyDescent="0.2">
      <c r="A495" s="337" t="s">
        <v>191</v>
      </c>
      <c r="B495" s="291">
        <v>29</v>
      </c>
      <c r="C495" s="291" t="s">
        <v>128</v>
      </c>
      <c r="D495" s="321">
        <v>150</v>
      </c>
      <c r="E495" s="300">
        <v>0</v>
      </c>
      <c r="F495" s="310">
        <f t="shared" si="140"/>
        <v>0</v>
      </c>
      <c r="G495" s="322">
        <v>2</v>
      </c>
      <c r="H495" s="300">
        <f>365*0.3</f>
        <v>109.5</v>
      </c>
      <c r="I495" s="310">
        <f t="shared" si="141"/>
        <v>16425</v>
      </c>
      <c r="J495" s="481">
        <f t="shared" si="142"/>
        <v>16425</v>
      </c>
    </row>
    <row r="496" spans="1:12" s="54" customFormat="1" ht="15" x14ac:dyDescent="0.2">
      <c r="A496" s="337" t="s">
        <v>121</v>
      </c>
      <c r="B496" s="291">
        <v>262</v>
      </c>
      <c r="C496" s="291" t="s">
        <v>61</v>
      </c>
      <c r="D496" s="321">
        <v>35</v>
      </c>
      <c r="E496" s="300">
        <v>0</v>
      </c>
      <c r="F496" s="310">
        <f t="shared" si="140"/>
        <v>0</v>
      </c>
      <c r="G496" s="322">
        <v>2</v>
      </c>
      <c r="H496" s="300">
        <v>90</v>
      </c>
      <c r="I496" s="310">
        <f t="shared" si="141"/>
        <v>3150</v>
      </c>
      <c r="J496" s="481">
        <f t="shared" si="142"/>
        <v>3150</v>
      </c>
    </row>
    <row r="497" spans="1:10" ht="29.1" customHeight="1" x14ac:dyDescent="0.2">
      <c r="A497" s="337" t="s">
        <v>204</v>
      </c>
      <c r="B497" s="291">
        <v>267</v>
      </c>
      <c r="C497" s="291" t="s">
        <v>44</v>
      </c>
      <c r="D497" s="321">
        <v>50</v>
      </c>
      <c r="E497" s="300">
        <v>0</v>
      </c>
      <c r="F497" s="310">
        <f t="shared" si="140"/>
        <v>0</v>
      </c>
      <c r="G497" s="322">
        <v>2</v>
      </c>
      <c r="H497" s="300">
        <v>1</v>
      </c>
      <c r="I497" s="310">
        <f t="shared" si="141"/>
        <v>50</v>
      </c>
      <c r="J497" s="481">
        <f t="shared" si="142"/>
        <v>50</v>
      </c>
    </row>
    <row r="498" spans="1:10" ht="33" customHeight="1" x14ac:dyDescent="0.2">
      <c r="A498" s="337" t="s">
        <v>65</v>
      </c>
      <c r="B498" s="291">
        <v>241</v>
      </c>
      <c r="C498" s="291" t="s">
        <v>49</v>
      </c>
      <c r="D498" s="321">
        <v>50</v>
      </c>
      <c r="E498" s="303">
        <v>0</v>
      </c>
      <c r="F498" s="310">
        <f t="shared" si="140"/>
        <v>0</v>
      </c>
      <c r="G498" s="322">
        <v>2</v>
      </c>
      <c r="H498" s="300">
        <v>1</v>
      </c>
      <c r="I498" s="310">
        <f t="shared" si="141"/>
        <v>50</v>
      </c>
      <c r="J498" s="481">
        <f t="shared" si="142"/>
        <v>50</v>
      </c>
    </row>
    <row r="499" spans="1:10" ht="52.5" customHeight="1" thickBot="1" x14ac:dyDescent="0.25">
      <c r="A499" s="337" t="s">
        <v>198</v>
      </c>
      <c r="B499" s="291">
        <v>29</v>
      </c>
      <c r="C499" s="291" t="s">
        <v>128</v>
      </c>
      <c r="D499" s="321">
        <v>185</v>
      </c>
      <c r="E499" s="300">
        <v>0</v>
      </c>
      <c r="F499" s="310">
        <f t="shared" si="140"/>
        <v>0</v>
      </c>
      <c r="G499" s="322">
        <v>2</v>
      </c>
      <c r="H499" s="300">
        <v>15</v>
      </c>
      <c r="I499" s="310">
        <f t="shared" si="141"/>
        <v>2775</v>
      </c>
      <c r="J499" s="481">
        <f t="shared" si="142"/>
        <v>2775</v>
      </c>
    </row>
    <row r="500" spans="1:10" s="54" customFormat="1" ht="35.1" customHeight="1" thickBot="1" x14ac:dyDescent="0.3">
      <c r="A500" s="904" t="str">
        <f>+RRCC!D56</f>
        <v>4.3.1.7   Distribución de al menos 2000 metodos anticonceptivos (Depoprovera, Ciclofem, pastillas y condones) a traves de 12 promotores.</v>
      </c>
      <c r="B500" s="905"/>
      <c r="C500" s="905"/>
      <c r="D500" s="391"/>
      <c r="E500" s="450"/>
      <c r="F500" s="519">
        <f t="shared" si="129"/>
        <v>0</v>
      </c>
      <c r="G500" s="571"/>
      <c r="H500" s="571"/>
      <c r="I500" s="519">
        <f>SUM(I501:I504)</f>
        <v>109925</v>
      </c>
      <c r="J500" s="519">
        <f t="shared" si="89"/>
        <v>109925</v>
      </c>
    </row>
    <row r="501" spans="1:10" ht="23.1" customHeight="1" x14ac:dyDescent="0.2">
      <c r="A501" s="352" t="s">
        <v>352</v>
      </c>
      <c r="B501" s="353"/>
      <c r="C501" s="353" t="s">
        <v>28</v>
      </c>
      <c r="D501" s="407">
        <v>30</v>
      </c>
      <c r="E501" s="441"/>
      <c r="F501" s="461">
        <f t="shared" si="129"/>
        <v>0</v>
      </c>
      <c r="G501" s="472">
        <v>2</v>
      </c>
      <c r="H501" s="441">
        <v>2062</v>
      </c>
      <c r="I501" s="461">
        <f t="shared" si="130"/>
        <v>61860</v>
      </c>
      <c r="J501" s="484">
        <f t="shared" si="89"/>
        <v>61860</v>
      </c>
    </row>
    <row r="502" spans="1:10" ht="15" customHeight="1" x14ac:dyDescent="0.2">
      <c r="A502" s="337" t="s">
        <v>121</v>
      </c>
      <c r="B502" s="291"/>
      <c r="C502" s="291" t="s">
        <v>61</v>
      </c>
      <c r="D502" s="321">
        <v>35</v>
      </c>
      <c r="E502" s="300"/>
      <c r="F502" s="310">
        <f t="shared" si="129"/>
        <v>0</v>
      </c>
      <c r="G502" s="322">
        <v>2</v>
      </c>
      <c r="H502" s="300">
        <v>400</v>
      </c>
      <c r="I502" s="310">
        <f t="shared" si="130"/>
        <v>14000</v>
      </c>
      <c r="J502" s="481">
        <f t="shared" si="89"/>
        <v>14000</v>
      </c>
    </row>
    <row r="503" spans="1:10" ht="15.95" customHeight="1" x14ac:dyDescent="0.2">
      <c r="A503" s="337" t="s">
        <v>346</v>
      </c>
      <c r="B503" s="291">
        <v>11</v>
      </c>
      <c r="C503" s="291" t="s">
        <v>128</v>
      </c>
      <c r="D503" s="321">
        <v>557</v>
      </c>
      <c r="E503" s="303">
        <v>0</v>
      </c>
      <c r="F503" s="310">
        <f t="shared" si="129"/>
        <v>0</v>
      </c>
      <c r="G503" s="322">
        <v>2</v>
      </c>
      <c r="H503" s="300">
        <v>45</v>
      </c>
      <c r="I503" s="310">
        <f t="shared" si="130"/>
        <v>25065</v>
      </c>
      <c r="J503" s="481">
        <f t="shared" ref="J503" si="143">F503+I503</f>
        <v>25065</v>
      </c>
    </row>
    <row r="504" spans="1:10" ht="15.95" customHeight="1" thickBot="1" x14ac:dyDescent="0.25">
      <c r="A504" s="345" t="s">
        <v>347</v>
      </c>
      <c r="B504" s="347">
        <v>29</v>
      </c>
      <c r="C504" s="347" t="s">
        <v>128</v>
      </c>
      <c r="D504" s="409">
        <v>150</v>
      </c>
      <c r="E504" s="439"/>
      <c r="F504" s="462">
        <f t="shared" si="129"/>
        <v>0</v>
      </c>
      <c r="G504" s="470">
        <v>2</v>
      </c>
      <c r="H504" s="439">
        <v>60</v>
      </c>
      <c r="I504" s="462">
        <f t="shared" si="130"/>
        <v>9000</v>
      </c>
      <c r="J504" s="482">
        <f t="shared" ref="J504:J569" si="144">F504+I504</f>
        <v>9000</v>
      </c>
    </row>
    <row r="505" spans="1:10" ht="18.95" customHeight="1" thickBot="1" x14ac:dyDescent="0.3">
      <c r="A505" s="904" t="str">
        <f>RRCC!D57</f>
        <v>4.3.1.8  Contratación de 2 maestros para atención de 45 estudiantes de nivel básico en comunidad Pozo Azul</v>
      </c>
      <c r="B505" s="905"/>
      <c r="C505" s="905"/>
      <c r="D505" s="391"/>
      <c r="E505" s="450"/>
      <c r="F505" s="519">
        <f>SUM(F506:F509)</f>
        <v>0</v>
      </c>
      <c r="G505" s="571"/>
      <c r="H505" s="571"/>
      <c r="I505" s="519">
        <f>SUM(I506:I509)</f>
        <v>73410</v>
      </c>
      <c r="J505" s="519">
        <f t="shared" si="144"/>
        <v>73410</v>
      </c>
    </row>
    <row r="506" spans="1:10" ht="21" customHeight="1" x14ac:dyDescent="0.2">
      <c r="A506" s="370" t="s">
        <v>353</v>
      </c>
      <c r="B506" s="353">
        <v>29</v>
      </c>
      <c r="C506" s="353" t="s">
        <v>94</v>
      </c>
      <c r="D506" s="427">
        <v>100</v>
      </c>
      <c r="E506" s="442">
        <v>0</v>
      </c>
      <c r="F506" s="461">
        <f t="shared" ref="F506:F509" si="145">E506*D506</f>
        <v>0</v>
      </c>
      <c r="G506" s="472">
        <v>2</v>
      </c>
      <c r="H506" s="441">
        <f>365*2</f>
        <v>730</v>
      </c>
      <c r="I506" s="461">
        <f t="shared" ref="I506:I509" si="146">D506*H506</f>
        <v>73000</v>
      </c>
      <c r="J506" s="484">
        <f t="shared" si="144"/>
        <v>73000</v>
      </c>
    </row>
    <row r="507" spans="1:10" ht="20.100000000000001" customHeight="1" x14ac:dyDescent="0.2">
      <c r="A507" s="337" t="s">
        <v>65</v>
      </c>
      <c r="B507" s="291">
        <v>241</v>
      </c>
      <c r="C507" s="291" t="s">
        <v>49</v>
      </c>
      <c r="D507" s="428">
        <v>50</v>
      </c>
      <c r="E507" s="300">
        <v>0</v>
      </c>
      <c r="F507" s="310">
        <f t="shared" si="145"/>
        <v>0</v>
      </c>
      <c r="G507" s="322">
        <v>2</v>
      </c>
      <c r="H507" s="300">
        <v>3</v>
      </c>
      <c r="I507" s="310">
        <f t="shared" si="146"/>
        <v>150</v>
      </c>
      <c r="J507" s="481">
        <f t="shared" si="144"/>
        <v>150</v>
      </c>
    </row>
    <row r="508" spans="1:10" s="55" customFormat="1" ht="17.100000000000001" customHeight="1" x14ac:dyDescent="0.2">
      <c r="A508" s="337" t="s">
        <v>157</v>
      </c>
      <c r="B508" s="291">
        <v>291</v>
      </c>
      <c r="C508" s="291" t="s">
        <v>44</v>
      </c>
      <c r="D508" s="428">
        <v>20</v>
      </c>
      <c r="E508" s="300">
        <v>0</v>
      </c>
      <c r="F508" s="310">
        <f t="shared" si="145"/>
        <v>0</v>
      </c>
      <c r="G508" s="322">
        <v>2</v>
      </c>
      <c r="H508" s="300">
        <v>3</v>
      </c>
      <c r="I508" s="310">
        <f t="shared" si="146"/>
        <v>60</v>
      </c>
      <c r="J508" s="481">
        <f t="shared" si="144"/>
        <v>60</v>
      </c>
    </row>
    <row r="509" spans="1:10" s="55" customFormat="1" ht="17.100000000000001" customHeight="1" thickBot="1" x14ac:dyDescent="0.25">
      <c r="A509" s="345" t="s">
        <v>65</v>
      </c>
      <c r="B509" s="347">
        <v>241</v>
      </c>
      <c r="C509" s="347" t="s">
        <v>49</v>
      </c>
      <c r="D509" s="430">
        <v>50</v>
      </c>
      <c r="E509" s="439">
        <v>0</v>
      </c>
      <c r="F509" s="462">
        <f t="shared" si="145"/>
        <v>0</v>
      </c>
      <c r="G509" s="470">
        <v>2</v>
      </c>
      <c r="H509" s="439">
        <v>4</v>
      </c>
      <c r="I509" s="462">
        <f t="shared" si="146"/>
        <v>200</v>
      </c>
      <c r="J509" s="482">
        <f t="shared" si="144"/>
        <v>200</v>
      </c>
    </row>
    <row r="510" spans="1:10" ht="27.75" customHeight="1" thickBot="1" x14ac:dyDescent="0.25">
      <c r="A510" s="579" t="s">
        <v>104</v>
      </c>
      <c r="B510" s="580"/>
      <c r="C510" s="580"/>
      <c r="D510" s="581"/>
      <c r="E510" s="582"/>
      <c r="F510" s="593">
        <f>F511+F536</f>
        <v>0</v>
      </c>
      <c r="G510" s="594"/>
      <c r="H510" s="595"/>
      <c r="I510" s="596">
        <f>I511+I536</f>
        <v>567124.12</v>
      </c>
      <c r="J510" s="584">
        <f t="shared" si="144"/>
        <v>567124.12</v>
      </c>
    </row>
    <row r="511" spans="1:10" ht="39" customHeight="1" thickBot="1" x14ac:dyDescent="0.25">
      <c r="A511" s="585" t="s">
        <v>96</v>
      </c>
      <c r="B511" s="585"/>
      <c r="C511" s="585"/>
      <c r="D511" s="586"/>
      <c r="E511" s="587"/>
      <c r="F511" s="588">
        <f>F513</f>
        <v>0</v>
      </c>
      <c r="G511" s="589"/>
      <c r="H511" s="590"/>
      <c r="I511" s="591">
        <f>SUM(I513+I523+I529)</f>
        <v>217230</v>
      </c>
      <c r="J511" s="592">
        <f t="shared" si="144"/>
        <v>217230</v>
      </c>
    </row>
    <row r="512" spans="1:10" ht="39" customHeight="1" thickBot="1" x14ac:dyDescent="0.25">
      <c r="A512" s="931" t="s">
        <v>231</v>
      </c>
      <c r="B512" s="932"/>
      <c r="C512" s="932"/>
      <c r="D512" s="573"/>
      <c r="E512" s="574"/>
      <c r="F512" s="387"/>
      <c r="G512" s="552"/>
      <c r="H512" s="575"/>
      <c r="I512" s="576"/>
      <c r="J512" s="553"/>
    </row>
    <row r="513" spans="1:253" s="55" customFormat="1" ht="58.5" customHeight="1" thickBot="1" x14ac:dyDescent="0.3">
      <c r="A513" s="904" t="str">
        <f>RRI!D12</f>
        <v>5.1.1 Gestión de financiamiento para fortalecer los programas del PNSL, en conjunto con otras organizacacionese instituciones como Oro Verde, Pastoral Social, ACOFOP, USAC-CECON, MAGA, MARN, Municipalidad de La Libertad y Municipalidad de Las Cruces.</v>
      </c>
      <c r="B513" s="905"/>
      <c r="C513" s="905"/>
      <c r="D513" s="391"/>
      <c r="E513" s="450"/>
      <c r="F513" s="519">
        <f>SUM(F514:F522)</f>
        <v>0</v>
      </c>
      <c r="G513" s="571">
        <v>2</v>
      </c>
      <c r="H513" s="571"/>
      <c r="I513" s="519">
        <f>SUM(I514:I522)</f>
        <v>160460</v>
      </c>
      <c r="J513" s="519">
        <f t="shared" si="144"/>
        <v>160460</v>
      </c>
    </row>
    <row r="514" spans="1:253" ht="12.75" customHeight="1" x14ac:dyDescent="0.2">
      <c r="A514" s="707" t="s">
        <v>34</v>
      </c>
      <c r="B514" s="708" t="s">
        <v>170</v>
      </c>
      <c r="C514" s="709" t="s">
        <v>94</v>
      </c>
      <c r="D514" s="710">
        <v>715</v>
      </c>
      <c r="E514" s="441">
        <v>0</v>
      </c>
      <c r="F514" s="361">
        <f t="shared" ref="F514:F521" si="147">E514*D514</f>
        <v>0</v>
      </c>
      <c r="G514" s="472">
        <v>2</v>
      </c>
      <c r="H514" s="577">
        <f>365*0.4</f>
        <v>146</v>
      </c>
      <c r="I514" s="461">
        <f t="shared" ref="I514:I524" si="148">D514*H514</f>
        <v>104390</v>
      </c>
      <c r="J514" s="484">
        <f t="shared" si="144"/>
        <v>104390</v>
      </c>
    </row>
    <row r="515" spans="1:253" ht="12.75" customHeight="1" x14ac:dyDescent="0.2">
      <c r="A515" s="711" t="s">
        <v>164</v>
      </c>
      <c r="B515" s="712" t="s">
        <v>170</v>
      </c>
      <c r="C515" s="713" t="s">
        <v>94</v>
      </c>
      <c r="D515" s="714">
        <v>557</v>
      </c>
      <c r="E515" s="300">
        <v>0</v>
      </c>
      <c r="F515" s="301">
        <f t="shared" si="147"/>
        <v>0</v>
      </c>
      <c r="G515" s="322">
        <v>2</v>
      </c>
      <c r="H515" s="546">
        <v>30</v>
      </c>
      <c r="I515" s="310">
        <f t="shared" si="148"/>
        <v>16710</v>
      </c>
      <c r="J515" s="481">
        <f t="shared" si="144"/>
        <v>16710</v>
      </c>
      <c r="K515" s="227"/>
      <c r="L515" s="227"/>
      <c r="M515" s="227"/>
      <c r="N515" s="227"/>
      <c r="O515" s="227"/>
      <c r="P515" s="227"/>
      <c r="Q515" s="227"/>
      <c r="R515" s="227"/>
      <c r="S515" s="227"/>
      <c r="T515" s="227"/>
      <c r="U515" s="227"/>
      <c r="V515" s="227"/>
      <c r="W515" s="227"/>
      <c r="X515" s="227"/>
      <c r="Y515" s="227"/>
      <c r="Z515" s="227"/>
      <c r="AA515" s="227"/>
      <c r="AB515" s="227"/>
      <c r="AC515" s="227"/>
      <c r="AD515" s="227"/>
      <c r="AE515" s="227"/>
      <c r="AF515" s="228"/>
      <c r="AG515" s="141"/>
      <c r="AH515" s="147"/>
      <c r="AI515" s="45"/>
      <c r="AJ515" s="45"/>
      <c r="AK515" s="141"/>
      <c r="AL515" s="147"/>
      <c r="AM515" s="45"/>
      <c r="AN515" s="45"/>
      <c r="AO515" s="141"/>
      <c r="AP515" s="147"/>
      <c r="AQ515" s="45"/>
      <c r="AR515" s="45"/>
      <c r="AS515" s="141"/>
      <c r="AT515" s="147"/>
      <c r="AU515" s="45"/>
      <c r="AV515" s="45"/>
      <c r="AW515" s="141"/>
      <c r="AX515" s="147"/>
      <c r="AY515" s="45"/>
      <c r="AZ515" s="45"/>
      <c r="BA515" s="141"/>
      <c r="BB515" s="147"/>
      <c r="BC515" s="45"/>
      <c r="BD515" s="45"/>
      <c r="BE515" s="141"/>
      <c r="BF515" s="147"/>
      <c r="BG515" s="45"/>
      <c r="BH515" s="45"/>
      <c r="BI515" s="141"/>
      <c r="BJ515" s="147" t="s">
        <v>84</v>
      </c>
      <c r="BK515" s="45">
        <v>165</v>
      </c>
      <c r="BL515" s="45" t="s">
        <v>44</v>
      </c>
      <c r="BM515" s="141">
        <v>15000</v>
      </c>
      <c r="BN515" s="147" t="s">
        <v>84</v>
      </c>
      <c r="BO515" s="45">
        <v>165</v>
      </c>
      <c r="BP515" s="45" t="s">
        <v>44</v>
      </c>
      <c r="BQ515" s="141">
        <v>15000</v>
      </c>
      <c r="BR515" s="147" t="s">
        <v>84</v>
      </c>
      <c r="BS515" s="45">
        <v>165</v>
      </c>
      <c r="BT515" s="45" t="s">
        <v>44</v>
      </c>
      <c r="BU515" s="141">
        <v>15000</v>
      </c>
      <c r="BV515" s="147" t="s">
        <v>84</v>
      </c>
      <c r="BW515" s="45">
        <v>165</v>
      </c>
      <c r="BX515" s="45" t="s">
        <v>44</v>
      </c>
      <c r="BY515" s="141">
        <v>15000</v>
      </c>
      <c r="BZ515" s="147" t="s">
        <v>84</v>
      </c>
      <c r="CA515" s="45">
        <v>165</v>
      </c>
      <c r="CB515" s="45" t="s">
        <v>44</v>
      </c>
      <c r="CC515" s="141">
        <v>15000</v>
      </c>
      <c r="CD515" s="147" t="s">
        <v>84</v>
      </c>
      <c r="CE515" s="45">
        <v>165</v>
      </c>
      <c r="CF515" s="45" t="s">
        <v>44</v>
      </c>
      <c r="CG515" s="141">
        <v>15000</v>
      </c>
      <c r="CH515" s="147" t="s">
        <v>84</v>
      </c>
      <c r="CI515" s="45">
        <v>165</v>
      </c>
      <c r="CJ515" s="45" t="s">
        <v>44</v>
      </c>
      <c r="CK515" s="141">
        <v>15000</v>
      </c>
      <c r="CL515" s="147" t="s">
        <v>84</v>
      </c>
      <c r="CM515" s="45">
        <v>165</v>
      </c>
      <c r="CN515" s="45" t="s">
        <v>44</v>
      </c>
      <c r="CO515" s="141">
        <v>15000</v>
      </c>
      <c r="CP515" s="147" t="s">
        <v>84</v>
      </c>
      <c r="CQ515" s="45">
        <v>165</v>
      </c>
      <c r="CR515" s="45" t="s">
        <v>44</v>
      </c>
      <c r="CS515" s="141">
        <v>15000</v>
      </c>
      <c r="CT515" s="147" t="s">
        <v>84</v>
      </c>
      <c r="CU515" s="45">
        <v>165</v>
      </c>
      <c r="CV515" s="45" t="s">
        <v>44</v>
      </c>
      <c r="CW515" s="141">
        <v>15000</v>
      </c>
      <c r="CX515" s="147" t="s">
        <v>84</v>
      </c>
      <c r="CY515" s="45">
        <v>165</v>
      </c>
      <c r="CZ515" s="45" t="s">
        <v>44</v>
      </c>
      <c r="DA515" s="141">
        <v>15000</v>
      </c>
      <c r="DB515" s="147" t="s">
        <v>84</v>
      </c>
      <c r="DC515" s="45">
        <v>165</v>
      </c>
      <c r="DD515" s="45" t="s">
        <v>44</v>
      </c>
      <c r="DE515" s="141">
        <v>15000</v>
      </c>
      <c r="DF515" s="147" t="s">
        <v>84</v>
      </c>
      <c r="DG515" s="45">
        <v>165</v>
      </c>
      <c r="DH515" s="45" t="s">
        <v>44</v>
      </c>
      <c r="DI515" s="141">
        <v>15000</v>
      </c>
      <c r="DJ515" s="147" t="s">
        <v>84</v>
      </c>
      <c r="DK515" s="45">
        <v>165</v>
      </c>
      <c r="DL515" s="45" t="s">
        <v>44</v>
      </c>
      <c r="DM515" s="141">
        <v>15000</v>
      </c>
      <c r="DN515" s="147" t="s">
        <v>84</v>
      </c>
      <c r="DO515" s="45">
        <v>165</v>
      </c>
      <c r="DP515" s="45" t="s">
        <v>44</v>
      </c>
      <c r="DQ515" s="141">
        <v>15000</v>
      </c>
      <c r="DR515" s="147" t="s">
        <v>84</v>
      </c>
      <c r="DS515" s="45">
        <v>165</v>
      </c>
      <c r="DT515" s="45" t="s">
        <v>44</v>
      </c>
      <c r="DU515" s="141">
        <v>15000</v>
      </c>
      <c r="DV515" s="147" t="s">
        <v>84</v>
      </c>
      <c r="DW515" s="45">
        <v>165</v>
      </c>
      <c r="DX515" s="45" t="s">
        <v>44</v>
      </c>
      <c r="DY515" s="141">
        <v>15000</v>
      </c>
      <c r="DZ515" s="147" t="s">
        <v>84</v>
      </c>
      <c r="EA515" s="45">
        <v>165</v>
      </c>
      <c r="EB515" s="45" t="s">
        <v>44</v>
      </c>
      <c r="EC515" s="141">
        <v>15000</v>
      </c>
      <c r="ED515" s="147" t="s">
        <v>84</v>
      </c>
      <c r="EE515" s="45">
        <v>165</v>
      </c>
      <c r="EF515" s="45" t="s">
        <v>44</v>
      </c>
      <c r="EG515" s="141">
        <v>15000</v>
      </c>
      <c r="EH515" s="147" t="s">
        <v>84</v>
      </c>
      <c r="EI515" s="45">
        <v>165</v>
      </c>
      <c r="EJ515" s="45" t="s">
        <v>44</v>
      </c>
      <c r="EK515" s="141">
        <v>15000</v>
      </c>
      <c r="EL515" s="147" t="s">
        <v>84</v>
      </c>
      <c r="EM515" s="45">
        <v>165</v>
      </c>
      <c r="EN515" s="45" t="s">
        <v>44</v>
      </c>
      <c r="EO515" s="141">
        <v>15000</v>
      </c>
      <c r="EP515" s="147" t="s">
        <v>84</v>
      </c>
      <c r="EQ515" s="45">
        <v>165</v>
      </c>
      <c r="ER515" s="45" t="s">
        <v>44</v>
      </c>
      <c r="ES515" s="141">
        <v>15000</v>
      </c>
      <c r="ET515" s="147" t="s">
        <v>84</v>
      </c>
      <c r="EU515" s="45">
        <v>165</v>
      </c>
      <c r="EV515" s="45" t="s">
        <v>44</v>
      </c>
      <c r="EW515" s="141">
        <v>15000</v>
      </c>
      <c r="EX515" s="147" t="s">
        <v>84</v>
      </c>
      <c r="EY515" s="45">
        <v>165</v>
      </c>
      <c r="EZ515" s="45" t="s">
        <v>44</v>
      </c>
      <c r="FA515" s="141">
        <v>15000</v>
      </c>
      <c r="FB515" s="147" t="s">
        <v>84</v>
      </c>
      <c r="FC515" s="45">
        <v>165</v>
      </c>
      <c r="FD515" s="45" t="s">
        <v>44</v>
      </c>
      <c r="FE515" s="141">
        <v>15000</v>
      </c>
      <c r="FF515" s="147" t="s">
        <v>84</v>
      </c>
      <c r="FG515" s="45">
        <v>165</v>
      </c>
      <c r="FH515" s="45" t="s">
        <v>44</v>
      </c>
      <c r="FI515" s="141">
        <v>15000</v>
      </c>
      <c r="FJ515" s="147" t="s">
        <v>84</v>
      </c>
      <c r="FK515" s="45">
        <v>165</v>
      </c>
      <c r="FL515" s="45" t="s">
        <v>44</v>
      </c>
      <c r="FM515" s="141">
        <v>15000</v>
      </c>
      <c r="FN515" s="147" t="s">
        <v>84</v>
      </c>
      <c r="FO515" s="45">
        <v>165</v>
      </c>
      <c r="FP515" s="45" t="s">
        <v>44</v>
      </c>
      <c r="FQ515" s="141">
        <v>15000</v>
      </c>
      <c r="FR515" s="147" t="s">
        <v>84</v>
      </c>
      <c r="FS515" s="45">
        <v>165</v>
      </c>
      <c r="FT515" s="45" t="s">
        <v>44</v>
      </c>
      <c r="FU515" s="141">
        <v>15000</v>
      </c>
      <c r="FV515" s="147" t="s">
        <v>84</v>
      </c>
      <c r="FW515" s="45">
        <v>165</v>
      </c>
      <c r="FX515" s="45" t="s">
        <v>44</v>
      </c>
      <c r="FY515" s="141">
        <v>15000</v>
      </c>
      <c r="FZ515" s="147" t="s">
        <v>84</v>
      </c>
      <c r="GA515" s="45">
        <v>165</v>
      </c>
      <c r="GB515" s="45" t="s">
        <v>44</v>
      </c>
      <c r="GC515" s="141">
        <v>15000</v>
      </c>
      <c r="GD515" s="147" t="s">
        <v>84</v>
      </c>
      <c r="GE515" s="45">
        <v>165</v>
      </c>
      <c r="GF515" s="45" t="s">
        <v>44</v>
      </c>
      <c r="GG515" s="141">
        <v>15000</v>
      </c>
      <c r="GH515" s="147" t="s">
        <v>84</v>
      </c>
      <c r="GI515" s="45">
        <v>165</v>
      </c>
      <c r="GJ515" s="45" t="s">
        <v>44</v>
      </c>
      <c r="GK515" s="141">
        <v>15000</v>
      </c>
      <c r="GL515" s="147" t="s">
        <v>84</v>
      </c>
      <c r="GM515" s="45">
        <v>165</v>
      </c>
      <c r="GN515" s="45" t="s">
        <v>44</v>
      </c>
      <c r="GO515" s="141">
        <v>15000</v>
      </c>
      <c r="GP515" s="147" t="s">
        <v>84</v>
      </c>
      <c r="GQ515" s="45">
        <v>165</v>
      </c>
      <c r="GR515" s="45" t="s">
        <v>44</v>
      </c>
      <c r="GS515" s="141">
        <v>15000</v>
      </c>
      <c r="GT515" s="147" t="s">
        <v>84</v>
      </c>
      <c r="GU515" s="45">
        <v>165</v>
      </c>
      <c r="GV515" s="45" t="s">
        <v>44</v>
      </c>
      <c r="GW515" s="141">
        <v>15000</v>
      </c>
      <c r="GX515" s="147" t="s">
        <v>84</v>
      </c>
      <c r="GY515" s="45">
        <v>165</v>
      </c>
      <c r="GZ515" s="45" t="s">
        <v>44</v>
      </c>
      <c r="HA515" s="141">
        <v>15000</v>
      </c>
      <c r="HB515" s="147" t="s">
        <v>84</v>
      </c>
      <c r="HC515" s="45">
        <v>165</v>
      </c>
      <c r="HD515" s="45" t="s">
        <v>44</v>
      </c>
      <c r="HE515" s="141">
        <v>15000</v>
      </c>
      <c r="HF515" s="147" t="s">
        <v>84</v>
      </c>
      <c r="HG515" s="45">
        <v>165</v>
      </c>
      <c r="HH515" s="45" t="s">
        <v>44</v>
      </c>
      <c r="HI515" s="141">
        <v>15000</v>
      </c>
      <c r="HJ515" s="147" t="s">
        <v>84</v>
      </c>
      <c r="HK515" s="45">
        <v>165</v>
      </c>
      <c r="HL515" s="45" t="s">
        <v>44</v>
      </c>
      <c r="HM515" s="141">
        <v>15000</v>
      </c>
      <c r="HN515" s="147" t="s">
        <v>84</v>
      </c>
      <c r="HO515" s="45">
        <v>165</v>
      </c>
      <c r="HP515" s="45" t="s">
        <v>44</v>
      </c>
      <c r="HQ515" s="141">
        <v>15000</v>
      </c>
      <c r="HR515" s="147" t="s">
        <v>84</v>
      </c>
      <c r="HS515" s="45">
        <v>165</v>
      </c>
      <c r="HT515" s="45" t="s">
        <v>44</v>
      </c>
      <c r="HU515" s="141">
        <v>15000</v>
      </c>
      <c r="HV515" s="147" t="s">
        <v>84</v>
      </c>
      <c r="HW515" s="45">
        <v>165</v>
      </c>
      <c r="HX515" s="45" t="s">
        <v>44</v>
      </c>
      <c r="HY515" s="141">
        <v>15000</v>
      </c>
      <c r="HZ515" s="147" t="s">
        <v>84</v>
      </c>
      <c r="IA515" s="45">
        <v>165</v>
      </c>
      <c r="IB515" s="45" t="s">
        <v>44</v>
      </c>
      <c r="IC515" s="141">
        <v>15000</v>
      </c>
      <c r="ID515" s="147" t="s">
        <v>84</v>
      </c>
      <c r="IE515" s="45">
        <v>165</v>
      </c>
      <c r="IF515" s="45" t="s">
        <v>44</v>
      </c>
      <c r="IG515" s="141">
        <v>15000</v>
      </c>
      <c r="IH515" s="147" t="s">
        <v>84</v>
      </c>
      <c r="II515" s="45">
        <v>165</v>
      </c>
      <c r="IJ515" s="45" t="s">
        <v>44</v>
      </c>
      <c r="IK515" s="141">
        <v>15000</v>
      </c>
      <c r="IL515" s="147" t="s">
        <v>84</v>
      </c>
      <c r="IM515" s="45">
        <v>165</v>
      </c>
      <c r="IN515" s="45" t="s">
        <v>44</v>
      </c>
      <c r="IO515" s="141">
        <v>15000</v>
      </c>
      <c r="IP515" s="147" t="s">
        <v>84</v>
      </c>
      <c r="IQ515" s="45">
        <v>165</v>
      </c>
      <c r="IR515" s="45" t="s">
        <v>44</v>
      </c>
      <c r="IS515" s="141">
        <v>15000</v>
      </c>
    </row>
    <row r="516" spans="1:253" ht="12.75" customHeight="1" x14ac:dyDescent="0.2">
      <c r="A516" s="711" t="s">
        <v>203</v>
      </c>
      <c r="B516" s="713">
        <v>211</v>
      </c>
      <c r="C516" s="713" t="s">
        <v>44</v>
      </c>
      <c r="D516" s="715">
        <v>10</v>
      </c>
      <c r="E516" s="300">
        <v>0</v>
      </c>
      <c r="F516" s="301">
        <f t="shared" si="147"/>
        <v>0</v>
      </c>
      <c r="G516" s="322">
        <v>2</v>
      </c>
      <c r="H516" s="546">
        <f>(5*6)*4</f>
        <v>120</v>
      </c>
      <c r="I516" s="310">
        <f t="shared" si="148"/>
        <v>1200</v>
      </c>
      <c r="J516" s="481">
        <f t="shared" si="144"/>
        <v>1200</v>
      </c>
      <c r="K516" s="227"/>
      <c r="L516" s="227"/>
      <c r="M516" s="227"/>
      <c r="N516" s="227"/>
      <c r="O516" s="227"/>
      <c r="P516" s="227"/>
      <c r="Q516" s="227"/>
      <c r="R516" s="227"/>
      <c r="S516" s="227"/>
      <c r="T516" s="227"/>
      <c r="U516" s="227"/>
      <c r="V516" s="227"/>
      <c r="W516" s="227"/>
      <c r="X516" s="227"/>
      <c r="Y516" s="227"/>
      <c r="Z516" s="227"/>
      <c r="AA516" s="227"/>
      <c r="AB516" s="227"/>
      <c r="AC516" s="227"/>
      <c r="AD516" s="227"/>
      <c r="AE516" s="227"/>
      <c r="AF516" s="199"/>
      <c r="AG516" s="182"/>
      <c r="AH516" s="200"/>
      <c r="AI516" s="199"/>
      <c r="AJ516" s="199"/>
      <c r="AK516" s="182"/>
      <c r="AL516" s="200"/>
      <c r="AM516" s="199"/>
      <c r="AN516" s="199"/>
      <c r="AO516" s="182"/>
      <c r="AP516" s="200"/>
      <c r="AQ516" s="199"/>
      <c r="AR516" s="199"/>
      <c r="AS516" s="182"/>
      <c r="AT516" s="200"/>
      <c r="AU516" s="199"/>
      <c r="AV516" s="199"/>
      <c r="AW516" s="182"/>
      <c r="AX516" s="200"/>
      <c r="AY516" s="199"/>
      <c r="AZ516" s="199"/>
      <c r="BA516" s="182"/>
      <c r="BB516" s="200"/>
      <c r="BC516" s="199"/>
      <c r="BD516" s="199"/>
      <c r="BE516" s="182"/>
      <c r="BF516" s="200"/>
      <c r="BG516" s="199"/>
      <c r="BH516" s="199"/>
      <c r="BI516" s="182"/>
      <c r="BJ516" s="200"/>
      <c r="BK516" s="199"/>
      <c r="BL516" s="199"/>
      <c r="BM516" s="182"/>
      <c r="BN516" s="200"/>
      <c r="BO516" s="199"/>
      <c r="BP516" s="199"/>
      <c r="BQ516" s="182"/>
      <c r="BR516" s="200"/>
      <c r="BS516" s="199"/>
      <c r="BT516" s="199"/>
      <c r="BU516" s="182"/>
      <c r="BV516" s="200"/>
      <c r="BW516" s="199"/>
      <c r="BX516" s="199"/>
      <c r="BY516" s="182"/>
      <c r="BZ516" s="200"/>
      <c r="CA516" s="199"/>
      <c r="CB516" s="199"/>
      <c r="CC516" s="182"/>
      <c r="CD516" s="200"/>
      <c r="CE516" s="199"/>
      <c r="CF516" s="199"/>
      <c r="CG516" s="182"/>
      <c r="CH516" s="200"/>
      <c r="CI516" s="199"/>
      <c r="CJ516" s="199"/>
      <c r="CK516" s="182"/>
      <c r="CL516" s="200"/>
      <c r="CM516" s="199"/>
      <c r="CN516" s="199"/>
      <c r="CO516" s="182"/>
      <c r="CP516" s="200"/>
      <c r="CQ516" s="199"/>
      <c r="CR516" s="199"/>
      <c r="CS516" s="182"/>
      <c r="CT516" s="200"/>
      <c r="CU516" s="199"/>
      <c r="CV516" s="199"/>
      <c r="CW516" s="182"/>
      <c r="CX516" s="200"/>
      <c r="CY516" s="199"/>
      <c r="CZ516" s="199"/>
      <c r="DA516" s="182"/>
      <c r="DB516" s="200"/>
      <c r="DC516" s="199"/>
      <c r="DD516" s="199"/>
      <c r="DE516" s="182"/>
      <c r="DF516" s="200"/>
      <c r="DG516" s="199"/>
      <c r="DH516" s="199"/>
      <c r="DI516" s="182"/>
      <c r="DJ516" s="200"/>
      <c r="DK516" s="199"/>
      <c r="DL516" s="199"/>
      <c r="DM516" s="182"/>
      <c r="DN516" s="200"/>
      <c r="DO516" s="199"/>
      <c r="DP516" s="199"/>
      <c r="DQ516" s="182"/>
      <c r="DR516" s="200"/>
      <c r="DS516" s="199"/>
      <c r="DT516" s="199"/>
      <c r="DU516" s="182"/>
      <c r="DV516" s="200"/>
      <c r="DW516" s="199"/>
      <c r="DX516" s="199"/>
      <c r="DY516" s="182"/>
      <c r="DZ516" s="200"/>
      <c r="EA516" s="199"/>
      <c r="EB516" s="199"/>
      <c r="EC516" s="182"/>
      <c r="ED516" s="200"/>
      <c r="EE516" s="199"/>
      <c r="EF516" s="199"/>
      <c r="EG516" s="182"/>
      <c r="EH516" s="200"/>
      <c r="EI516" s="199"/>
      <c r="EJ516" s="199"/>
      <c r="EK516" s="182"/>
      <c r="EL516" s="200"/>
      <c r="EM516" s="199"/>
      <c r="EN516" s="199"/>
      <c r="EO516" s="182"/>
      <c r="EP516" s="200"/>
      <c r="EQ516" s="199"/>
      <c r="ER516" s="199"/>
      <c r="ES516" s="182"/>
      <c r="ET516" s="200"/>
      <c r="EU516" s="199"/>
      <c r="EV516" s="199"/>
      <c r="EW516" s="182"/>
      <c r="EX516" s="200"/>
      <c r="EY516" s="199"/>
      <c r="EZ516" s="199"/>
      <c r="FA516" s="182"/>
      <c r="FB516" s="200"/>
      <c r="FC516" s="199"/>
      <c r="FD516" s="199"/>
      <c r="FE516" s="182"/>
      <c r="FF516" s="200"/>
      <c r="FG516" s="199"/>
      <c r="FH516" s="199"/>
      <c r="FI516" s="182"/>
      <c r="FJ516" s="200"/>
      <c r="FK516" s="199"/>
      <c r="FL516" s="199"/>
      <c r="FM516" s="182"/>
      <c r="FN516" s="200"/>
      <c r="FO516" s="199"/>
      <c r="FP516" s="199"/>
      <c r="FQ516" s="182"/>
      <c r="FR516" s="200"/>
      <c r="FS516" s="199"/>
      <c r="FT516" s="199"/>
      <c r="FU516" s="182"/>
      <c r="FV516" s="200"/>
      <c r="FW516" s="199"/>
      <c r="FX516" s="199"/>
      <c r="FY516" s="182"/>
      <c r="FZ516" s="200"/>
      <c r="GA516" s="199"/>
      <c r="GB516" s="199"/>
      <c r="GC516" s="182"/>
      <c r="GD516" s="200"/>
      <c r="GE516" s="199"/>
      <c r="GF516" s="199"/>
      <c r="GG516" s="182"/>
      <c r="GH516" s="200"/>
      <c r="GI516" s="199"/>
      <c r="GJ516" s="199"/>
      <c r="GK516" s="182"/>
      <c r="GL516" s="200"/>
      <c r="GM516" s="199"/>
      <c r="GN516" s="199"/>
      <c r="GO516" s="182"/>
      <c r="GP516" s="200"/>
      <c r="GQ516" s="199"/>
      <c r="GR516" s="199"/>
      <c r="GS516" s="182"/>
      <c r="GT516" s="200"/>
      <c r="GU516" s="199"/>
      <c r="GV516" s="199"/>
      <c r="GW516" s="182"/>
      <c r="GX516" s="200"/>
      <c r="GY516" s="199"/>
      <c r="GZ516" s="199"/>
      <c r="HA516" s="182"/>
      <c r="HB516" s="200"/>
      <c r="HC516" s="199"/>
      <c r="HD516" s="199"/>
      <c r="HE516" s="182"/>
      <c r="HF516" s="200"/>
      <c r="HG516" s="199"/>
      <c r="HH516" s="199"/>
      <c r="HI516" s="182"/>
      <c r="HJ516" s="200"/>
      <c r="HK516" s="199"/>
      <c r="HL516" s="199"/>
      <c r="HM516" s="182"/>
      <c r="HN516" s="200"/>
      <c r="HO516" s="199"/>
      <c r="HP516" s="199"/>
      <c r="HQ516" s="182"/>
      <c r="HR516" s="200"/>
      <c r="HS516" s="199"/>
      <c r="HT516" s="199"/>
      <c r="HU516" s="182"/>
      <c r="HV516" s="200"/>
      <c r="HW516" s="199"/>
      <c r="HX516" s="199"/>
      <c r="HY516" s="182"/>
      <c r="HZ516" s="200"/>
      <c r="IA516" s="199"/>
      <c r="IB516" s="199"/>
      <c r="IC516" s="182"/>
      <c r="ID516" s="200"/>
      <c r="IE516" s="199"/>
      <c r="IF516" s="199"/>
      <c r="IG516" s="182"/>
      <c r="IH516" s="200"/>
      <c r="II516" s="199"/>
      <c r="IJ516" s="199"/>
      <c r="IK516" s="182"/>
      <c r="IL516" s="200"/>
      <c r="IM516" s="199"/>
      <c r="IN516" s="199"/>
      <c r="IO516" s="182"/>
      <c r="IP516" s="200"/>
      <c r="IQ516" s="199"/>
      <c r="IR516" s="199"/>
      <c r="IS516" s="182"/>
    </row>
    <row r="517" spans="1:253" ht="12.75" customHeight="1" x14ac:dyDescent="0.2">
      <c r="A517" s="711" t="s">
        <v>121</v>
      </c>
      <c r="B517" s="713">
        <v>262</v>
      </c>
      <c r="C517" s="713" t="s">
        <v>61</v>
      </c>
      <c r="D517" s="715">
        <v>36</v>
      </c>
      <c r="E517" s="300">
        <v>0</v>
      </c>
      <c r="F517" s="301">
        <f t="shared" si="147"/>
        <v>0</v>
      </c>
      <c r="G517" s="322">
        <v>2</v>
      </c>
      <c r="H517" s="546">
        <f>(10*2)*12</f>
        <v>240</v>
      </c>
      <c r="I517" s="310">
        <f t="shared" si="148"/>
        <v>8640</v>
      </c>
      <c r="J517" s="481">
        <f t="shared" si="144"/>
        <v>8640</v>
      </c>
      <c r="K517" s="199"/>
      <c r="L517" s="199"/>
      <c r="M517" s="182"/>
      <c r="N517" s="200"/>
      <c r="O517" s="199"/>
      <c r="P517" s="199"/>
      <c r="Q517" s="182"/>
      <c r="R517" s="200"/>
      <c r="S517" s="199"/>
      <c r="T517" s="199"/>
      <c r="U517" s="182"/>
      <c r="V517" s="200"/>
      <c r="W517" s="199"/>
      <c r="X517" s="199"/>
      <c r="Y517" s="182"/>
      <c r="Z517" s="200"/>
      <c r="AA517" s="199"/>
      <c r="AB517" s="199"/>
      <c r="AC517" s="182"/>
      <c r="AD517" s="200"/>
      <c r="AE517" s="199"/>
      <c r="AF517" s="199"/>
      <c r="AG517" s="182"/>
      <c r="AH517" s="200"/>
      <c r="AI517" s="199"/>
      <c r="AJ517" s="199"/>
      <c r="AK517" s="182"/>
      <c r="AL517" s="200"/>
      <c r="AM517" s="199"/>
      <c r="AN517" s="199"/>
      <c r="AO517" s="182"/>
      <c r="AP517" s="200"/>
      <c r="AQ517" s="199"/>
      <c r="AR517" s="199"/>
      <c r="AS517" s="182"/>
      <c r="AT517" s="200"/>
      <c r="AU517" s="199"/>
      <c r="AV517" s="199"/>
      <c r="AW517" s="182"/>
      <c r="AX517" s="200"/>
      <c r="AY517" s="199"/>
      <c r="AZ517" s="199"/>
      <c r="BA517" s="182"/>
      <c r="BB517" s="200"/>
      <c r="BC517" s="199"/>
      <c r="BD517" s="199"/>
      <c r="BE517" s="182"/>
      <c r="BF517" s="200"/>
      <c r="BG517" s="199"/>
      <c r="BH517" s="199"/>
      <c r="BI517" s="182"/>
      <c r="BJ517" s="200"/>
      <c r="BK517" s="199"/>
      <c r="BL517" s="199"/>
      <c r="BM517" s="182"/>
      <c r="BN517" s="200"/>
      <c r="BO517" s="199"/>
      <c r="BP517" s="199"/>
      <c r="BQ517" s="182"/>
      <c r="BR517" s="200"/>
      <c r="BS517" s="199"/>
      <c r="BT517" s="199"/>
      <c r="BU517" s="182"/>
      <c r="BV517" s="200"/>
      <c r="BW517" s="199"/>
      <c r="BX517" s="199"/>
      <c r="BY517" s="182"/>
      <c r="BZ517" s="200"/>
      <c r="CA517" s="199"/>
      <c r="CB517" s="199"/>
      <c r="CC517" s="182"/>
      <c r="CD517" s="200"/>
      <c r="CE517" s="199"/>
      <c r="CF517" s="199"/>
      <c r="CG517" s="182"/>
      <c r="CH517" s="200"/>
      <c r="CI517" s="199"/>
      <c r="CJ517" s="199"/>
      <c r="CK517" s="182"/>
      <c r="CL517" s="200"/>
      <c r="CM517" s="199"/>
      <c r="CN517" s="199"/>
      <c r="CO517" s="182"/>
      <c r="CP517" s="200"/>
      <c r="CQ517" s="199"/>
      <c r="CR517" s="199"/>
      <c r="CS517" s="182"/>
      <c r="CT517" s="200"/>
      <c r="CU517" s="199"/>
      <c r="CV517" s="199"/>
      <c r="CW517" s="182"/>
      <c r="CX517" s="200"/>
      <c r="CY517" s="199"/>
      <c r="CZ517" s="199"/>
      <c r="DA517" s="182"/>
      <c r="DB517" s="200"/>
      <c r="DC517" s="199"/>
      <c r="DD517" s="199"/>
      <c r="DE517" s="182"/>
      <c r="DF517" s="200"/>
      <c r="DG517" s="199"/>
      <c r="DH517" s="199"/>
      <c r="DI517" s="182"/>
      <c r="DJ517" s="200"/>
      <c r="DK517" s="199"/>
      <c r="DL517" s="199"/>
      <c r="DM517" s="182"/>
      <c r="DN517" s="200"/>
      <c r="DO517" s="199"/>
      <c r="DP517" s="199"/>
      <c r="DQ517" s="182"/>
      <c r="DR517" s="200"/>
      <c r="DS517" s="199"/>
      <c r="DT517" s="199"/>
      <c r="DU517" s="182"/>
      <c r="DV517" s="200"/>
      <c r="DW517" s="199"/>
      <c r="DX517" s="199"/>
      <c r="DY517" s="182"/>
      <c r="DZ517" s="200"/>
      <c r="EA517" s="199"/>
      <c r="EB517" s="199"/>
      <c r="EC517" s="182"/>
      <c r="ED517" s="200"/>
      <c r="EE517" s="199"/>
      <c r="EF517" s="199"/>
      <c r="EG517" s="182"/>
      <c r="EH517" s="200"/>
      <c r="EI517" s="199"/>
      <c r="EJ517" s="199"/>
      <c r="EK517" s="182"/>
      <c r="EL517" s="200"/>
      <c r="EM517" s="199"/>
      <c r="EN517" s="199"/>
      <c r="EO517" s="182"/>
      <c r="EP517" s="200"/>
      <c r="EQ517" s="199"/>
      <c r="ER517" s="199"/>
      <c r="ES517" s="182"/>
      <c r="ET517" s="200"/>
      <c r="EU517" s="199"/>
      <c r="EV517" s="199"/>
      <c r="EW517" s="182"/>
      <c r="EX517" s="200"/>
      <c r="EY517" s="199"/>
      <c r="EZ517" s="199"/>
      <c r="FA517" s="182"/>
      <c r="FB517" s="200"/>
      <c r="FC517" s="199"/>
      <c r="FD517" s="199"/>
      <c r="FE517" s="182"/>
      <c r="FF517" s="200"/>
      <c r="FG517" s="199"/>
      <c r="FH517" s="199"/>
      <c r="FI517" s="182"/>
      <c r="FJ517" s="200"/>
      <c r="FK517" s="199"/>
      <c r="FL517" s="199"/>
      <c r="FM517" s="182"/>
      <c r="FN517" s="200"/>
      <c r="FO517" s="199"/>
      <c r="FP517" s="199"/>
      <c r="FQ517" s="182"/>
      <c r="FR517" s="200"/>
      <c r="FS517" s="199"/>
      <c r="FT517" s="199"/>
      <c r="FU517" s="182"/>
      <c r="FV517" s="200"/>
      <c r="FW517" s="199"/>
      <c r="FX517" s="199"/>
      <c r="FY517" s="182"/>
      <c r="FZ517" s="200"/>
      <c r="GA517" s="199"/>
      <c r="GB517" s="199"/>
      <c r="GC517" s="182"/>
      <c r="GD517" s="200"/>
      <c r="GE517" s="199"/>
      <c r="GF517" s="199"/>
      <c r="GG517" s="182"/>
      <c r="GH517" s="200"/>
      <c r="GI517" s="199"/>
      <c r="GJ517" s="199"/>
      <c r="GK517" s="182"/>
      <c r="GL517" s="200"/>
      <c r="GM517" s="199"/>
      <c r="GN517" s="199"/>
      <c r="GO517" s="182"/>
      <c r="GP517" s="200"/>
      <c r="GQ517" s="199"/>
      <c r="GR517" s="199"/>
      <c r="GS517" s="182"/>
      <c r="GT517" s="200"/>
      <c r="GU517" s="199"/>
      <c r="GV517" s="199"/>
      <c r="GW517" s="182"/>
      <c r="GX517" s="200"/>
      <c r="GY517" s="199"/>
      <c r="GZ517" s="199"/>
      <c r="HA517" s="182"/>
      <c r="HB517" s="200"/>
      <c r="HC517" s="199"/>
      <c r="HD517" s="199"/>
      <c r="HE517" s="182"/>
      <c r="HF517" s="200"/>
      <c r="HG517" s="199"/>
      <c r="HH517" s="199"/>
      <c r="HI517" s="182"/>
      <c r="HJ517" s="200"/>
      <c r="HK517" s="199"/>
      <c r="HL517" s="199"/>
      <c r="HM517" s="182"/>
      <c r="HN517" s="200"/>
      <c r="HO517" s="199"/>
      <c r="HP517" s="199"/>
      <c r="HQ517" s="182"/>
      <c r="HR517" s="200"/>
      <c r="HS517" s="199"/>
      <c r="HT517" s="199"/>
      <c r="HU517" s="182"/>
      <c r="HV517" s="200"/>
      <c r="HW517" s="199"/>
      <c r="HX517" s="199"/>
      <c r="HY517" s="182"/>
      <c r="HZ517" s="200"/>
      <c r="IA517" s="199"/>
      <c r="IB517" s="199"/>
      <c r="IC517" s="182"/>
      <c r="ID517" s="200"/>
      <c r="IE517" s="199"/>
      <c r="IF517" s="199"/>
      <c r="IG517" s="182"/>
      <c r="IH517" s="200"/>
      <c r="II517" s="199"/>
      <c r="IJ517" s="199"/>
      <c r="IK517" s="182"/>
      <c r="IL517" s="200"/>
      <c r="IM517" s="199"/>
      <c r="IN517" s="199"/>
      <c r="IO517" s="182"/>
      <c r="IP517" s="200"/>
      <c r="IQ517" s="199"/>
      <c r="IR517" s="199"/>
      <c r="IS517" s="182"/>
    </row>
    <row r="518" spans="1:253" ht="12.75" customHeight="1" x14ac:dyDescent="0.2">
      <c r="A518" s="711" t="s">
        <v>204</v>
      </c>
      <c r="B518" s="713">
        <v>267</v>
      </c>
      <c r="C518" s="713" t="s">
        <v>44</v>
      </c>
      <c r="D518" s="715">
        <v>50</v>
      </c>
      <c r="E518" s="300">
        <v>0</v>
      </c>
      <c r="F518" s="301">
        <f t="shared" si="147"/>
        <v>0</v>
      </c>
      <c r="G518" s="322">
        <v>2</v>
      </c>
      <c r="H518" s="546">
        <v>2</v>
      </c>
      <c r="I518" s="310">
        <f t="shared" si="148"/>
        <v>100</v>
      </c>
      <c r="J518" s="481">
        <f t="shared" si="144"/>
        <v>100</v>
      </c>
      <c r="K518" s="199"/>
      <c r="L518" s="199"/>
      <c r="M518" s="182"/>
      <c r="N518" s="200"/>
      <c r="O518" s="199"/>
      <c r="P518" s="199"/>
      <c r="Q518" s="182"/>
      <c r="R518" s="200"/>
      <c r="S518" s="199"/>
      <c r="T518" s="199"/>
      <c r="U518" s="182"/>
      <c r="V518" s="200"/>
      <c r="W518" s="199"/>
      <c r="X518" s="199"/>
      <c r="Y518" s="182"/>
      <c r="Z518" s="200"/>
      <c r="AA518" s="199"/>
      <c r="AB518" s="199"/>
      <c r="AC518" s="182"/>
      <c r="AD518" s="200"/>
      <c r="AE518" s="199"/>
      <c r="AF518" s="199"/>
      <c r="AG518" s="182"/>
      <c r="AH518" s="200"/>
      <c r="AI518" s="199"/>
      <c r="AJ518" s="199"/>
      <c r="AK518" s="182"/>
      <c r="AL518" s="200"/>
      <c r="AM518" s="199"/>
      <c r="AN518" s="199"/>
      <c r="AO518" s="182"/>
      <c r="AP518" s="200"/>
      <c r="AQ518" s="199"/>
      <c r="AR518" s="199"/>
      <c r="AS518" s="182"/>
      <c r="AT518" s="200"/>
      <c r="AU518" s="199"/>
      <c r="AV518" s="199"/>
      <c r="AW518" s="182"/>
      <c r="AX518" s="200"/>
      <c r="AY518" s="199"/>
      <c r="AZ518" s="199"/>
      <c r="BA518" s="182"/>
      <c r="BB518" s="200"/>
      <c r="BC518" s="199"/>
      <c r="BD518" s="199"/>
      <c r="BE518" s="182"/>
      <c r="BF518" s="200"/>
      <c r="BG518" s="199"/>
      <c r="BH518" s="199"/>
      <c r="BI518" s="182"/>
      <c r="BJ518" s="200"/>
      <c r="BK518" s="199"/>
      <c r="BL518" s="199"/>
      <c r="BM518" s="182"/>
      <c r="BN518" s="200"/>
      <c r="BO518" s="199"/>
      <c r="BP518" s="199"/>
      <c r="BQ518" s="182"/>
      <c r="BR518" s="200"/>
      <c r="BS518" s="199"/>
      <c r="BT518" s="199"/>
      <c r="BU518" s="182"/>
      <c r="BV518" s="200"/>
      <c r="BW518" s="199"/>
      <c r="BX518" s="199"/>
      <c r="BY518" s="182"/>
      <c r="BZ518" s="200"/>
      <c r="CA518" s="199"/>
      <c r="CB518" s="199"/>
      <c r="CC518" s="182"/>
      <c r="CD518" s="200"/>
      <c r="CE518" s="199"/>
      <c r="CF518" s="199"/>
      <c r="CG518" s="182"/>
      <c r="CH518" s="200"/>
      <c r="CI518" s="199"/>
      <c r="CJ518" s="199"/>
      <c r="CK518" s="182"/>
      <c r="CL518" s="200"/>
      <c r="CM518" s="199"/>
      <c r="CN518" s="199"/>
      <c r="CO518" s="182"/>
      <c r="CP518" s="200"/>
      <c r="CQ518" s="199"/>
      <c r="CR518" s="199"/>
      <c r="CS518" s="182"/>
      <c r="CT518" s="200"/>
      <c r="CU518" s="199"/>
      <c r="CV518" s="199"/>
      <c r="CW518" s="182"/>
      <c r="CX518" s="200"/>
      <c r="CY518" s="199"/>
      <c r="CZ518" s="199"/>
      <c r="DA518" s="182"/>
      <c r="DB518" s="200"/>
      <c r="DC518" s="199"/>
      <c r="DD518" s="199"/>
      <c r="DE518" s="182"/>
      <c r="DF518" s="200"/>
      <c r="DG518" s="199"/>
      <c r="DH518" s="199"/>
      <c r="DI518" s="182"/>
      <c r="DJ518" s="200"/>
      <c r="DK518" s="199"/>
      <c r="DL518" s="199"/>
      <c r="DM518" s="182"/>
      <c r="DN518" s="200"/>
      <c r="DO518" s="199"/>
      <c r="DP518" s="199"/>
      <c r="DQ518" s="182"/>
      <c r="DR518" s="200"/>
      <c r="DS518" s="199"/>
      <c r="DT518" s="199"/>
      <c r="DU518" s="182"/>
      <c r="DV518" s="200"/>
      <c r="DW518" s="199"/>
      <c r="DX518" s="199"/>
      <c r="DY518" s="182"/>
      <c r="DZ518" s="200"/>
      <c r="EA518" s="199"/>
      <c r="EB518" s="199"/>
      <c r="EC518" s="182"/>
      <c r="ED518" s="200"/>
      <c r="EE518" s="199"/>
      <c r="EF518" s="199"/>
      <c r="EG518" s="182"/>
      <c r="EH518" s="200"/>
      <c r="EI518" s="199"/>
      <c r="EJ518" s="199"/>
      <c r="EK518" s="182"/>
      <c r="EL518" s="200"/>
      <c r="EM518" s="199"/>
      <c r="EN518" s="199"/>
      <c r="EO518" s="182"/>
      <c r="EP518" s="200"/>
      <c r="EQ518" s="199"/>
      <c r="ER518" s="199"/>
      <c r="ES518" s="182"/>
      <c r="ET518" s="200"/>
      <c r="EU518" s="199"/>
      <c r="EV518" s="199"/>
      <c r="EW518" s="182"/>
      <c r="EX518" s="200"/>
      <c r="EY518" s="199"/>
      <c r="EZ518" s="199"/>
      <c r="FA518" s="182"/>
      <c r="FB518" s="200"/>
      <c r="FC518" s="199"/>
      <c r="FD518" s="199"/>
      <c r="FE518" s="182"/>
      <c r="FF518" s="200"/>
      <c r="FG518" s="199"/>
      <c r="FH518" s="199"/>
      <c r="FI518" s="182"/>
      <c r="FJ518" s="200"/>
      <c r="FK518" s="199"/>
      <c r="FL518" s="199"/>
      <c r="FM518" s="182"/>
      <c r="FN518" s="200"/>
      <c r="FO518" s="199"/>
      <c r="FP518" s="199"/>
      <c r="FQ518" s="182"/>
      <c r="FR518" s="200"/>
      <c r="FS518" s="199"/>
      <c r="FT518" s="199"/>
      <c r="FU518" s="182"/>
      <c r="FV518" s="200"/>
      <c r="FW518" s="199"/>
      <c r="FX518" s="199"/>
      <c r="FY518" s="182"/>
      <c r="FZ518" s="200"/>
      <c r="GA518" s="199"/>
      <c r="GB518" s="199"/>
      <c r="GC518" s="182"/>
      <c r="GD518" s="200"/>
      <c r="GE518" s="199"/>
      <c r="GF518" s="199"/>
      <c r="GG518" s="182"/>
      <c r="GH518" s="200"/>
      <c r="GI518" s="199"/>
      <c r="GJ518" s="199"/>
      <c r="GK518" s="182"/>
      <c r="GL518" s="200"/>
      <c r="GM518" s="199"/>
      <c r="GN518" s="199"/>
      <c r="GO518" s="182"/>
      <c r="GP518" s="200"/>
      <c r="GQ518" s="199"/>
      <c r="GR518" s="199"/>
      <c r="GS518" s="182"/>
      <c r="GT518" s="200"/>
      <c r="GU518" s="199"/>
      <c r="GV518" s="199"/>
      <c r="GW518" s="182"/>
      <c r="GX518" s="200"/>
      <c r="GY518" s="199"/>
      <c r="GZ518" s="199"/>
      <c r="HA518" s="182"/>
      <c r="HB518" s="200"/>
      <c r="HC518" s="199"/>
      <c r="HD518" s="199"/>
      <c r="HE518" s="182"/>
      <c r="HF518" s="200"/>
      <c r="HG518" s="199"/>
      <c r="HH518" s="199"/>
      <c r="HI518" s="182"/>
      <c r="HJ518" s="200"/>
      <c r="HK518" s="199"/>
      <c r="HL518" s="199"/>
      <c r="HM518" s="182"/>
      <c r="HN518" s="200"/>
      <c r="HO518" s="199"/>
      <c r="HP518" s="199"/>
      <c r="HQ518" s="182"/>
      <c r="HR518" s="200"/>
      <c r="HS518" s="199"/>
      <c r="HT518" s="199"/>
      <c r="HU518" s="182"/>
      <c r="HV518" s="200"/>
      <c r="HW518" s="199"/>
      <c r="HX518" s="199"/>
      <c r="HY518" s="182"/>
      <c r="HZ518" s="200"/>
      <c r="IA518" s="199"/>
      <c r="IB518" s="199"/>
      <c r="IC518" s="182"/>
      <c r="ID518" s="200"/>
      <c r="IE518" s="199"/>
      <c r="IF518" s="199"/>
      <c r="IG518" s="182"/>
      <c r="IH518" s="200"/>
      <c r="II518" s="199"/>
      <c r="IJ518" s="199"/>
      <c r="IK518" s="182"/>
      <c r="IL518" s="200"/>
      <c r="IM518" s="199"/>
      <c r="IN518" s="199"/>
      <c r="IO518" s="182"/>
      <c r="IP518" s="200"/>
      <c r="IQ518" s="199"/>
      <c r="IR518" s="199"/>
      <c r="IS518" s="182"/>
    </row>
    <row r="519" spans="1:253" ht="12.75" customHeight="1" x14ac:dyDescent="0.2">
      <c r="A519" s="711" t="s">
        <v>65</v>
      </c>
      <c r="B519" s="713">
        <v>241</v>
      </c>
      <c r="C519" s="713" t="s">
        <v>49</v>
      </c>
      <c r="D519" s="716">
        <v>50</v>
      </c>
      <c r="E519" s="300">
        <v>0</v>
      </c>
      <c r="F519" s="301">
        <f t="shared" si="147"/>
        <v>0</v>
      </c>
      <c r="G519" s="322">
        <v>2</v>
      </c>
      <c r="H519" s="546">
        <v>4</v>
      </c>
      <c r="I519" s="310">
        <f t="shared" si="148"/>
        <v>200</v>
      </c>
      <c r="J519" s="481">
        <f t="shared" si="144"/>
        <v>200</v>
      </c>
      <c r="K519" s="199"/>
      <c r="L519" s="199"/>
      <c r="M519" s="182"/>
      <c r="N519" s="200"/>
      <c r="O519" s="199"/>
      <c r="P519" s="199"/>
      <c r="Q519" s="182"/>
      <c r="R519" s="200"/>
      <c r="S519" s="199"/>
      <c r="T519" s="199"/>
      <c r="U519" s="182"/>
      <c r="V519" s="200"/>
      <c r="W519" s="199"/>
      <c r="X519" s="199"/>
      <c r="Y519" s="182"/>
      <c r="Z519" s="200"/>
      <c r="AA519" s="199"/>
      <c r="AB519" s="199"/>
      <c r="AC519" s="182"/>
      <c r="AD519" s="200"/>
      <c r="AE519" s="199"/>
      <c r="AF519" s="199"/>
      <c r="AG519" s="182"/>
      <c r="AH519" s="200"/>
      <c r="AI519" s="199"/>
      <c r="AJ519" s="199"/>
      <c r="AK519" s="182"/>
      <c r="AL519" s="200"/>
      <c r="AM519" s="199"/>
      <c r="AN519" s="199"/>
      <c r="AO519" s="182"/>
      <c r="AP519" s="200"/>
      <c r="AQ519" s="199"/>
      <c r="AR519" s="199"/>
      <c r="AS519" s="182"/>
      <c r="AT519" s="200"/>
      <c r="AU519" s="199"/>
      <c r="AV519" s="199"/>
      <c r="AW519" s="182"/>
      <c r="AX519" s="200"/>
      <c r="AY519" s="199"/>
      <c r="AZ519" s="199"/>
      <c r="BA519" s="182"/>
      <c r="BB519" s="200"/>
      <c r="BC519" s="199"/>
      <c r="BD519" s="199"/>
      <c r="BE519" s="182"/>
      <c r="BF519" s="200"/>
      <c r="BG519" s="199"/>
      <c r="BH519" s="199"/>
      <c r="BI519" s="182"/>
      <c r="BJ519" s="200"/>
      <c r="BK519" s="199"/>
      <c r="BL519" s="199"/>
      <c r="BM519" s="182"/>
      <c r="BN519" s="200"/>
      <c r="BO519" s="199"/>
      <c r="BP519" s="199"/>
      <c r="BQ519" s="182"/>
      <c r="BR519" s="200"/>
      <c r="BS519" s="199"/>
      <c r="BT519" s="199"/>
      <c r="BU519" s="182"/>
      <c r="BV519" s="200"/>
      <c r="BW519" s="199"/>
      <c r="BX519" s="199"/>
      <c r="BY519" s="182"/>
      <c r="BZ519" s="200"/>
      <c r="CA519" s="199"/>
      <c r="CB519" s="199"/>
      <c r="CC519" s="182"/>
      <c r="CD519" s="200"/>
      <c r="CE519" s="199"/>
      <c r="CF519" s="199"/>
      <c r="CG519" s="182"/>
      <c r="CH519" s="200"/>
      <c r="CI519" s="199"/>
      <c r="CJ519" s="199"/>
      <c r="CK519" s="182"/>
      <c r="CL519" s="200"/>
      <c r="CM519" s="199"/>
      <c r="CN519" s="199"/>
      <c r="CO519" s="182"/>
      <c r="CP519" s="200"/>
      <c r="CQ519" s="199"/>
      <c r="CR519" s="199"/>
      <c r="CS519" s="182"/>
      <c r="CT519" s="200"/>
      <c r="CU519" s="199"/>
      <c r="CV519" s="199"/>
      <c r="CW519" s="182"/>
      <c r="CX519" s="200"/>
      <c r="CY519" s="199"/>
      <c r="CZ519" s="199"/>
      <c r="DA519" s="182"/>
      <c r="DB519" s="200"/>
      <c r="DC519" s="199"/>
      <c r="DD519" s="199"/>
      <c r="DE519" s="182"/>
      <c r="DF519" s="200"/>
      <c r="DG519" s="199"/>
      <c r="DH519" s="199"/>
      <c r="DI519" s="182"/>
      <c r="DJ519" s="200"/>
      <c r="DK519" s="199"/>
      <c r="DL519" s="199"/>
      <c r="DM519" s="182"/>
      <c r="DN519" s="200"/>
      <c r="DO519" s="199"/>
      <c r="DP519" s="199"/>
      <c r="DQ519" s="182"/>
      <c r="DR519" s="200"/>
      <c r="DS519" s="199"/>
      <c r="DT519" s="199"/>
      <c r="DU519" s="182"/>
      <c r="DV519" s="200"/>
      <c r="DW519" s="199"/>
      <c r="DX519" s="199"/>
      <c r="DY519" s="182"/>
      <c r="DZ519" s="200"/>
      <c r="EA519" s="199"/>
      <c r="EB519" s="199"/>
      <c r="EC519" s="182"/>
      <c r="ED519" s="200"/>
      <c r="EE519" s="199"/>
      <c r="EF519" s="199"/>
      <c r="EG519" s="182"/>
      <c r="EH519" s="200"/>
      <c r="EI519" s="199"/>
      <c r="EJ519" s="199"/>
      <c r="EK519" s="182"/>
      <c r="EL519" s="200"/>
      <c r="EM519" s="199"/>
      <c r="EN519" s="199"/>
      <c r="EO519" s="182"/>
      <c r="EP519" s="200"/>
      <c r="EQ519" s="199"/>
      <c r="ER519" s="199"/>
      <c r="ES519" s="182"/>
      <c r="ET519" s="200"/>
      <c r="EU519" s="199"/>
      <c r="EV519" s="199"/>
      <c r="EW519" s="182"/>
      <c r="EX519" s="200"/>
      <c r="EY519" s="199"/>
      <c r="EZ519" s="199"/>
      <c r="FA519" s="182"/>
      <c r="FB519" s="200"/>
      <c r="FC519" s="199"/>
      <c r="FD519" s="199"/>
      <c r="FE519" s="182"/>
      <c r="FF519" s="200"/>
      <c r="FG519" s="199"/>
      <c r="FH519" s="199"/>
      <c r="FI519" s="182"/>
      <c r="FJ519" s="200"/>
      <c r="FK519" s="199"/>
      <c r="FL519" s="199"/>
      <c r="FM519" s="182"/>
      <c r="FN519" s="200"/>
      <c r="FO519" s="199"/>
      <c r="FP519" s="199"/>
      <c r="FQ519" s="182"/>
      <c r="FR519" s="200"/>
      <c r="FS519" s="199"/>
      <c r="FT519" s="199"/>
      <c r="FU519" s="182"/>
      <c r="FV519" s="200"/>
      <c r="FW519" s="199"/>
      <c r="FX519" s="199"/>
      <c r="FY519" s="182"/>
      <c r="FZ519" s="200"/>
      <c r="GA519" s="199"/>
      <c r="GB519" s="199"/>
      <c r="GC519" s="182"/>
      <c r="GD519" s="200"/>
      <c r="GE519" s="199"/>
      <c r="GF519" s="199"/>
      <c r="GG519" s="182"/>
      <c r="GH519" s="200"/>
      <c r="GI519" s="199"/>
      <c r="GJ519" s="199"/>
      <c r="GK519" s="182"/>
      <c r="GL519" s="200"/>
      <c r="GM519" s="199"/>
      <c r="GN519" s="199"/>
      <c r="GO519" s="182"/>
      <c r="GP519" s="200"/>
      <c r="GQ519" s="199"/>
      <c r="GR519" s="199"/>
      <c r="GS519" s="182"/>
      <c r="GT519" s="200"/>
      <c r="GU519" s="199"/>
      <c r="GV519" s="199"/>
      <c r="GW519" s="182"/>
      <c r="GX519" s="200"/>
      <c r="GY519" s="199"/>
      <c r="GZ519" s="199"/>
      <c r="HA519" s="182"/>
      <c r="HB519" s="200"/>
      <c r="HC519" s="199"/>
      <c r="HD519" s="199"/>
      <c r="HE519" s="182"/>
      <c r="HF519" s="200"/>
      <c r="HG519" s="199"/>
      <c r="HH519" s="199"/>
      <c r="HI519" s="182"/>
      <c r="HJ519" s="200"/>
      <c r="HK519" s="199"/>
      <c r="HL519" s="199"/>
      <c r="HM519" s="182"/>
      <c r="HN519" s="200"/>
      <c r="HO519" s="199"/>
      <c r="HP519" s="199"/>
      <c r="HQ519" s="182"/>
      <c r="HR519" s="200"/>
      <c r="HS519" s="199"/>
      <c r="HT519" s="199"/>
      <c r="HU519" s="182"/>
      <c r="HV519" s="200"/>
      <c r="HW519" s="199"/>
      <c r="HX519" s="199"/>
      <c r="HY519" s="182"/>
      <c r="HZ519" s="200"/>
      <c r="IA519" s="199"/>
      <c r="IB519" s="199"/>
      <c r="IC519" s="182"/>
      <c r="ID519" s="200"/>
      <c r="IE519" s="199"/>
      <c r="IF519" s="199"/>
      <c r="IG519" s="182"/>
      <c r="IH519" s="200"/>
      <c r="II519" s="199"/>
      <c r="IJ519" s="199"/>
      <c r="IK519" s="182"/>
      <c r="IL519" s="200"/>
      <c r="IM519" s="199"/>
      <c r="IN519" s="199"/>
      <c r="IO519" s="182"/>
      <c r="IP519" s="200"/>
      <c r="IQ519" s="199"/>
      <c r="IR519" s="199"/>
      <c r="IS519" s="182"/>
    </row>
    <row r="520" spans="1:253" ht="15" x14ac:dyDescent="0.2">
      <c r="A520" s="711" t="s">
        <v>166</v>
      </c>
      <c r="B520" s="712" t="s">
        <v>170</v>
      </c>
      <c r="C520" s="713" t="s">
        <v>94</v>
      </c>
      <c r="D520" s="714">
        <v>422</v>
      </c>
      <c r="E520" s="300">
        <v>0</v>
      </c>
      <c r="F520" s="301">
        <f t="shared" si="147"/>
        <v>0</v>
      </c>
      <c r="G520" s="322">
        <v>2</v>
      </c>
      <c r="H520" s="546">
        <v>30</v>
      </c>
      <c r="I520" s="310">
        <f t="shared" si="148"/>
        <v>12660</v>
      </c>
      <c r="J520" s="481">
        <f t="shared" si="144"/>
        <v>12660</v>
      </c>
      <c r="K520" s="199"/>
      <c r="L520" s="199"/>
      <c r="M520" s="182"/>
      <c r="N520" s="200"/>
      <c r="O520" s="199"/>
      <c r="P520" s="199"/>
      <c r="Q520" s="182"/>
      <c r="R520" s="200"/>
      <c r="S520" s="199"/>
      <c r="T520" s="199"/>
      <c r="U520" s="182"/>
      <c r="V520" s="200"/>
      <c r="W520" s="199"/>
      <c r="X520" s="199"/>
      <c r="Y520" s="182"/>
      <c r="Z520" s="200"/>
      <c r="AA520" s="199"/>
      <c r="AB520" s="199"/>
      <c r="AC520" s="182"/>
      <c r="AD520" s="200"/>
      <c r="AE520" s="199"/>
      <c r="AF520" s="199"/>
      <c r="AG520" s="182"/>
      <c r="AH520" s="200"/>
      <c r="AI520" s="199"/>
      <c r="AJ520" s="199"/>
      <c r="AK520" s="182"/>
      <c r="AL520" s="200"/>
      <c r="AM520" s="199"/>
      <c r="AN520" s="199"/>
      <c r="AO520" s="182"/>
      <c r="AP520" s="200"/>
      <c r="AQ520" s="199"/>
      <c r="AR520" s="199"/>
      <c r="AS520" s="182"/>
      <c r="AT520" s="200"/>
      <c r="AU520" s="199"/>
      <c r="AV520" s="199"/>
      <c r="AW520" s="182"/>
      <c r="AX520" s="200"/>
      <c r="AY520" s="199"/>
      <c r="AZ520" s="199"/>
      <c r="BA520" s="182"/>
      <c r="BB520" s="200"/>
      <c r="BC520" s="199"/>
      <c r="BD520" s="199"/>
      <c r="BE520" s="182"/>
      <c r="BF520" s="200"/>
      <c r="BG520" s="199"/>
      <c r="BH520" s="199"/>
      <c r="BI520" s="182"/>
      <c r="BJ520" s="200"/>
      <c r="BK520" s="199"/>
      <c r="BL520" s="199"/>
      <c r="BM520" s="182"/>
      <c r="BN520" s="200"/>
      <c r="BO520" s="199"/>
      <c r="BP520" s="199"/>
      <c r="BQ520" s="182"/>
      <c r="BR520" s="200"/>
      <c r="BS520" s="199"/>
      <c r="BT520" s="199"/>
      <c r="BU520" s="182"/>
      <c r="BV520" s="200"/>
      <c r="BW520" s="199"/>
      <c r="BX520" s="199"/>
      <c r="BY520" s="182"/>
      <c r="BZ520" s="200"/>
      <c r="CA520" s="199"/>
      <c r="CB520" s="199"/>
      <c r="CC520" s="182"/>
      <c r="CD520" s="200"/>
      <c r="CE520" s="199"/>
      <c r="CF520" s="199"/>
      <c r="CG520" s="182"/>
      <c r="CH520" s="200"/>
      <c r="CI520" s="199"/>
      <c r="CJ520" s="199"/>
      <c r="CK520" s="182"/>
      <c r="CL520" s="200"/>
      <c r="CM520" s="199"/>
      <c r="CN520" s="199"/>
      <c r="CO520" s="182"/>
      <c r="CP520" s="200"/>
      <c r="CQ520" s="199"/>
      <c r="CR520" s="199"/>
      <c r="CS520" s="182"/>
      <c r="CT520" s="200"/>
      <c r="CU520" s="199"/>
      <c r="CV520" s="199"/>
      <c r="CW520" s="182"/>
      <c r="CX520" s="200"/>
      <c r="CY520" s="199"/>
      <c r="CZ520" s="199"/>
      <c r="DA520" s="182"/>
      <c r="DB520" s="200"/>
      <c r="DC520" s="199"/>
      <c r="DD520" s="199"/>
      <c r="DE520" s="182"/>
      <c r="DF520" s="200"/>
      <c r="DG520" s="199"/>
      <c r="DH520" s="199"/>
      <c r="DI520" s="182"/>
      <c r="DJ520" s="200"/>
      <c r="DK520" s="199"/>
      <c r="DL520" s="199"/>
      <c r="DM520" s="182"/>
      <c r="DN520" s="200"/>
      <c r="DO520" s="199"/>
      <c r="DP520" s="199"/>
      <c r="DQ520" s="182"/>
      <c r="DR520" s="200"/>
      <c r="DS520" s="199"/>
      <c r="DT520" s="199"/>
      <c r="DU520" s="182"/>
      <c r="DV520" s="200"/>
      <c r="DW520" s="199"/>
      <c r="DX520" s="199"/>
      <c r="DY520" s="182"/>
      <c r="DZ520" s="200"/>
      <c r="EA520" s="199"/>
      <c r="EB520" s="199"/>
      <c r="EC520" s="182"/>
      <c r="ED520" s="200"/>
      <c r="EE520" s="199"/>
      <c r="EF520" s="199"/>
      <c r="EG520" s="182"/>
      <c r="EH520" s="200"/>
      <c r="EI520" s="199"/>
      <c r="EJ520" s="199"/>
      <c r="EK520" s="182"/>
      <c r="EL520" s="200"/>
      <c r="EM520" s="199"/>
      <c r="EN520" s="199"/>
      <c r="EO520" s="182"/>
      <c r="EP520" s="200"/>
      <c r="EQ520" s="199"/>
      <c r="ER520" s="199"/>
      <c r="ES520" s="182"/>
      <c r="ET520" s="200"/>
      <c r="EU520" s="199"/>
      <c r="EV520" s="199"/>
      <c r="EW520" s="182"/>
      <c r="EX520" s="200"/>
      <c r="EY520" s="199"/>
      <c r="EZ520" s="199"/>
      <c r="FA520" s="182"/>
      <c r="FB520" s="200"/>
      <c r="FC520" s="199"/>
      <c r="FD520" s="199"/>
      <c r="FE520" s="182"/>
      <c r="FF520" s="200"/>
      <c r="FG520" s="199"/>
      <c r="FH520" s="199"/>
      <c r="FI520" s="182"/>
      <c r="FJ520" s="200"/>
      <c r="FK520" s="199"/>
      <c r="FL520" s="199"/>
      <c r="FM520" s="182"/>
      <c r="FN520" s="200"/>
      <c r="FO520" s="199"/>
      <c r="FP520" s="199"/>
      <c r="FQ520" s="182"/>
      <c r="FR520" s="200"/>
      <c r="FS520" s="199"/>
      <c r="FT520" s="199"/>
      <c r="FU520" s="182"/>
      <c r="FV520" s="200"/>
      <c r="FW520" s="199"/>
      <c r="FX520" s="199"/>
      <c r="FY520" s="182"/>
      <c r="FZ520" s="200"/>
      <c r="GA520" s="199"/>
      <c r="GB520" s="199"/>
      <c r="GC520" s="182"/>
      <c r="GD520" s="200"/>
      <c r="GE520" s="199"/>
      <c r="GF520" s="199"/>
      <c r="GG520" s="182"/>
      <c r="GH520" s="200"/>
      <c r="GI520" s="199"/>
      <c r="GJ520" s="199"/>
      <c r="GK520" s="182"/>
      <c r="GL520" s="200"/>
      <c r="GM520" s="199"/>
      <c r="GN520" s="199"/>
      <c r="GO520" s="182"/>
      <c r="GP520" s="200"/>
      <c r="GQ520" s="199"/>
      <c r="GR520" s="199"/>
      <c r="GS520" s="182"/>
      <c r="GT520" s="200"/>
      <c r="GU520" s="199"/>
      <c r="GV520" s="199"/>
      <c r="GW520" s="182"/>
      <c r="GX520" s="200"/>
      <c r="GY520" s="199"/>
      <c r="GZ520" s="199"/>
      <c r="HA520" s="182"/>
      <c r="HB520" s="200"/>
      <c r="HC520" s="199"/>
      <c r="HD520" s="199"/>
      <c r="HE520" s="182"/>
      <c r="HF520" s="200"/>
      <c r="HG520" s="199"/>
      <c r="HH520" s="199"/>
      <c r="HI520" s="182"/>
      <c r="HJ520" s="200"/>
      <c r="HK520" s="199"/>
      <c r="HL520" s="199"/>
      <c r="HM520" s="182"/>
      <c r="HN520" s="200"/>
      <c r="HO520" s="199"/>
      <c r="HP520" s="199"/>
      <c r="HQ520" s="182"/>
      <c r="HR520" s="200"/>
      <c r="HS520" s="199"/>
      <c r="HT520" s="199"/>
      <c r="HU520" s="182"/>
      <c r="HV520" s="200"/>
      <c r="HW520" s="199"/>
      <c r="HX520" s="199"/>
      <c r="HY520" s="182"/>
      <c r="HZ520" s="200"/>
      <c r="IA520" s="199"/>
      <c r="IB520" s="199"/>
      <c r="IC520" s="182"/>
      <c r="ID520" s="200"/>
      <c r="IE520" s="199"/>
      <c r="IF520" s="199"/>
      <c r="IG520" s="182"/>
      <c r="IH520" s="200"/>
      <c r="II520" s="199"/>
      <c r="IJ520" s="199"/>
      <c r="IK520" s="182"/>
      <c r="IL520" s="200"/>
      <c r="IM520" s="199"/>
      <c r="IN520" s="199"/>
      <c r="IO520" s="182"/>
      <c r="IP520" s="200"/>
      <c r="IQ520" s="199"/>
      <c r="IR520" s="199"/>
      <c r="IS520" s="182"/>
    </row>
    <row r="521" spans="1:253" ht="15" x14ac:dyDescent="0.2">
      <c r="A521" s="711" t="s">
        <v>205</v>
      </c>
      <c r="B521" s="712" t="s">
        <v>388</v>
      </c>
      <c r="C521" s="713" t="s">
        <v>44</v>
      </c>
      <c r="D521" s="714">
        <v>1800</v>
      </c>
      <c r="E521" s="300">
        <v>0</v>
      </c>
      <c r="F521" s="301">
        <f t="shared" si="147"/>
        <v>0</v>
      </c>
      <c r="G521" s="322">
        <v>2</v>
      </c>
      <c r="H521" s="546">
        <v>6</v>
      </c>
      <c r="I521" s="310">
        <f t="shared" si="148"/>
        <v>10800</v>
      </c>
      <c r="J521" s="481">
        <f t="shared" si="144"/>
        <v>10800</v>
      </c>
      <c r="K521" s="199"/>
      <c r="L521" s="199"/>
      <c r="M521" s="182"/>
      <c r="N521" s="200"/>
      <c r="O521" s="199"/>
      <c r="P521" s="199"/>
      <c r="Q521" s="182"/>
      <c r="R521" s="200"/>
      <c r="S521" s="199"/>
      <c r="T521" s="199"/>
      <c r="U521" s="182"/>
      <c r="V521" s="200"/>
      <c r="W521" s="199"/>
      <c r="X521" s="199"/>
      <c r="Y521" s="182"/>
      <c r="Z521" s="200"/>
      <c r="AA521" s="199"/>
      <c r="AB521" s="199"/>
      <c r="AC521" s="182"/>
      <c r="AD521" s="200"/>
      <c r="AE521" s="199"/>
      <c r="AF521" s="199"/>
      <c r="AG521" s="182"/>
      <c r="AH521" s="200"/>
      <c r="AI521" s="199"/>
      <c r="AJ521" s="199"/>
      <c r="AK521" s="182"/>
      <c r="AL521" s="200"/>
      <c r="AM521" s="199"/>
      <c r="AN521" s="199"/>
      <c r="AO521" s="182"/>
      <c r="AP521" s="200"/>
      <c r="AQ521" s="199"/>
      <c r="AR521" s="199"/>
      <c r="AS521" s="182"/>
      <c r="AT521" s="200"/>
      <c r="AU521" s="199"/>
      <c r="AV521" s="199"/>
      <c r="AW521" s="182"/>
      <c r="AX521" s="200"/>
      <c r="AY521" s="199"/>
      <c r="AZ521" s="199"/>
      <c r="BA521" s="182"/>
      <c r="BB521" s="200"/>
      <c r="BC521" s="199"/>
      <c r="BD521" s="199"/>
      <c r="BE521" s="182"/>
      <c r="BF521" s="200"/>
      <c r="BG521" s="199"/>
      <c r="BH521" s="199"/>
      <c r="BI521" s="182"/>
      <c r="BJ521" s="200"/>
      <c r="BK521" s="199"/>
      <c r="BL521" s="199"/>
      <c r="BM521" s="182"/>
      <c r="BN521" s="200"/>
      <c r="BO521" s="199"/>
      <c r="BP521" s="199"/>
      <c r="BQ521" s="182"/>
      <c r="BR521" s="200"/>
      <c r="BS521" s="199"/>
      <c r="BT521" s="199"/>
      <c r="BU521" s="182"/>
      <c r="BV521" s="200"/>
      <c r="BW521" s="199"/>
      <c r="BX521" s="199"/>
      <c r="BY521" s="182"/>
      <c r="BZ521" s="200"/>
      <c r="CA521" s="199"/>
      <c r="CB521" s="199"/>
      <c r="CC521" s="182"/>
      <c r="CD521" s="200"/>
      <c r="CE521" s="199"/>
      <c r="CF521" s="199"/>
      <c r="CG521" s="182"/>
      <c r="CH521" s="200"/>
      <c r="CI521" s="199"/>
      <c r="CJ521" s="199"/>
      <c r="CK521" s="182"/>
      <c r="CL521" s="200"/>
      <c r="CM521" s="199"/>
      <c r="CN521" s="199"/>
      <c r="CO521" s="182"/>
      <c r="CP521" s="200"/>
      <c r="CQ521" s="199"/>
      <c r="CR521" s="199"/>
      <c r="CS521" s="182"/>
      <c r="CT521" s="200"/>
      <c r="CU521" s="199"/>
      <c r="CV521" s="199"/>
      <c r="CW521" s="182"/>
      <c r="CX521" s="200"/>
      <c r="CY521" s="199"/>
      <c r="CZ521" s="199"/>
      <c r="DA521" s="182"/>
      <c r="DB521" s="200"/>
      <c r="DC521" s="199"/>
      <c r="DD521" s="199"/>
      <c r="DE521" s="182"/>
      <c r="DF521" s="200"/>
      <c r="DG521" s="199"/>
      <c r="DH521" s="199"/>
      <c r="DI521" s="182"/>
      <c r="DJ521" s="200"/>
      <c r="DK521" s="199"/>
      <c r="DL521" s="199"/>
      <c r="DM521" s="182"/>
      <c r="DN521" s="200"/>
      <c r="DO521" s="199"/>
      <c r="DP521" s="199"/>
      <c r="DQ521" s="182"/>
      <c r="DR521" s="200"/>
      <c r="DS521" s="199"/>
      <c r="DT521" s="199"/>
      <c r="DU521" s="182"/>
      <c r="DV521" s="200"/>
      <c r="DW521" s="199"/>
      <c r="DX521" s="199"/>
      <c r="DY521" s="182"/>
      <c r="DZ521" s="200"/>
      <c r="EA521" s="199"/>
      <c r="EB521" s="199"/>
      <c r="EC521" s="182"/>
      <c r="ED521" s="200"/>
      <c r="EE521" s="199"/>
      <c r="EF521" s="199"/>
      <c r="EG521" s="182"/>
      <c r="EH521" s="200"/>
      <c r="EI521" s="199"/>
      <c r="EJ521" s="199"/>
      <c r="EK521" s="182"/>
      <c r="EL521" s="200"/>
      <c r="EM521" s="199"/>
      <c r="EN521" s="199"/>
      <c r="EO521" s="182"/>
      <c r="EP521" s="200"/>
      <c r="EQ521" s="199"/>
      <c r="ER521" s="199"/>
      <c r="ES521" s="182"/>
      <c r="ET521" s="200"/>
      <c r="EU521" s="199"/>
      <c r="EV521" s="199"/>
      <c r="EW521" s="182"/>
      <c r="EX521" s="200"/>
      <c r="EY521" s="199"/>
      <c r="EZ521" s="199"/>
      <c r="FA521" s="182"/>
      <c r="FB521" s="200"/>
      <c r="FC521" s="199"/>
      <c r="FD521" s="199"/>
      <c r="FE521" s="182"/>
      <c r="FF521" s="200"/>
      <c r="FG521" s="199"/>
      <c r="FH521" s="199"/>
      <c r="FI521" s="182"/>
      <c r="FJ521" s="200"/>
      <c r="FK521" s="199"/>
      <c r="FL521" s="199"/>
      <c r="FM521" s="182"/>
      <c r="FN521" s="200"/>
      <c r="FO521" s="199"/>
      <c r="FP521" s="199"/>
      <c r="FQ521" s="182"/>
      <c r="FR521" s="200"/>
      <c r="FS521" s="199"/>
      <c r="FT521" s="199"/>
      <c r="FU521" s="182"/>
      <c r="FV521" s="200"/>
      <c r="FW521" s="199"/>
      <c r="FX521" s="199"/>
      <c r="FY521" s="182"/>
      <c r="FZ521" s="200"/>
      <c r="GA521" s="199"/>
      <c r="GB521" s="199"/>
      <c r="GC521" s="182"/>
      <c r="GD521" s="200"/>
      <c r="GE521" s="199"/>
      <c r="GF521" s="199"/>
      <c r="GG521" s="182"/>
      <c r="GH521" s="200"/>
      <c r="GI521" s="199"/>
      <c r="GJ521" s="199"/>
      <c r="GK521" s="182"/>
      <c r="GL521" s="200"/>
      <c r="GM521" s="199"/>
      <c r="GN521" s="199"/>
      <c r="GO521" s="182"/>
      <c r="GP521" s="200"/>
      <c r="GQ521" s="199"/>
      <c r="GR521" s="199"/>
      <c r="GS521" s="182"/>
      <c r="GT521" s="200"/>
      <c r="GU521" s="199"/>
      <c r="GV521" s="199"/>
      <c r="GW521" s="182"/>
      <c r="GX521" s="200"/>
      <c r="GY521" s="199"/>
      <c r="GZ521" s="199"/>
      <c r="HA521" s="182"/>
      <c r="HB521" s="200"/>
      <c r="HC521" s="199"/>
      <c r="HD521" s="199"/>
      <c r="HE521" s="182"/>
      <c r="HF521" s="200"/>
      <c r="HG521" s="199"/>
      <c r="HH521" s="199"/>
      <c r="HI521" s="182"/>
      <c r="HJ521" s="200"/>
      <c r="HK521" s="199"/>
      <c r="HL521" s="199"/>
      <c r="HM521" s="182"/>
      <c r="HN521" s="200"/>
      <c r="HO521" s="199"/>
      <c r="HP521" s="199"/>
      <c r="HQ521" s="182"/>
      <c r="HR521" s="200"/>
      <c r="HS521" s="199"/>
      <c r="HT521" s="199"/>
      <c r="HU521" s="182"/>
      <c r="HV521" s="200"/>
      <c r="HW521" s="199"/>
      <c r="HX521" s="199"/>
      <c r="HY521" s="182"/>
      <c r="HZ521" s="200"/>
      <c r="IA521" s="199"/>
      <c r="IB521" s="199"/>
      <c r="IC521" s="182"/>
      <c r="ID521" s="200"/>
      <c r="IE521" s="199"/>
      <c r="IF521" s="199"/>
      <c r="IG521" s="182"/>
      <c r="IH521" s="200"/>
      <c r="II521" s="199"/>
      <c r="IJ521" s="199"/>
      <c r="IK521" s="182"/>
      <c r="IL521" s="200"/>
      <c r="IM521" s="199"/>
      <c r="IN521" s="199"/>
      <c r="IO521" s="182"/>
      <c r="IP521" s="200"/>
      <c r="IQ521" s="199"/>
      <c r="IR521" s="199"/>
      <c r="IS521" s="182"/>
    </row>
    <row r="522" spans="1:253" ht="15" x14ac:dyDescent="0.2">
      <c r="A522" s="711" t="s">
        <v>280</v>
      </c>
      <c r="B522" s="712">
        <v>196</v>
      </c>
      <c r="C522" s="625" t="s">
        <v>44</v>
      </c>
      <c r="D522" s="659">
        <v>320</v>
      </c>
      <c r="E522" s="660">
        <v>0</v>
      </c>
      <c r="F522" s="661">
        <v>0</v>
      </c>
      <c r="G522" s="662">
        <v>2</v>
      </c>
      <c r="H522" s="663">
        <v>18</v>
      </c>
      <c r="I522" s="664">
        <f t="shared" si="148"/>
        <v>5760</v>
      </c>
      <c r="J522" s="661">
        <f t="shared" si="144"/>
        <v>5760</v>
      </c>
      <c r="K522" s="199"/>
      <c r="L522" s="199"/>
      <c r="M522" s="182"/>
      <c r="N522" s="200"/>
      <c r="O522" s="199"/>
      <c r="P522" s="199"/>
      <c r="Q522" s="182"/>
      <c r="R522" s="200"/>
      <c r="S522" s="199"/>
      <c r="T522" s="199"/>
      <c r="U522" s="182"/>
      <c r="V522" s="200"/>
      <c r="W522" s="199"/>
      <c r="X522" s="199"/>
      <c r="Y522" s="182"/>
      <c r="Z522" s="200"/>
      <c r="AA522" s="199"/>
      <c r="AB522" s="199"/>
      <c r="AC522" s="182"/>
      <c r="AD522" s="200"/>
      <c r="AE522" s="199"/>
      <c r="AF522" s="199"/>
      <c r="AG522" s="182"/>
      <c r="AH522" s="200"/>
      <c r="AI522" s="199"/>
      <c r="AJ522" s="199"/>
      <c r="AK522" s="182"/>
      <c r="AL522" s="200"/>
      <c r="AM522" s="199"/>
      <c r="AN522" s="199"/>
      <c r="AO522" s="182"/>
      <c r="AP522" s="200"/>
      <c r="AQ522" s="199"/>
      <c r="AR522" s="199"/>
      <c r="AS522" s="182"/>
      <c r="AT522" s="200"/>
      <c r="AU522" s="199"/>
      <c r="AV522" s="199"/>
      <c r="AW522" s="182"/>
      <c r="AX522" s="200"/>
      <c r="AY522" s="199"/>
      <c r="AZ522" s="199"/>
      <c r="BA522" s="182"/>
      <c r="BB522" s="200"/>
      <c r="BC522" s="199"/>
      <c r="BD522" s="199"/>
      <c r="BE522" s="182"/>
      <c r="BF522" s="200"/>
      <c r="BG522" s="199"/>
      <c r="BH522" s="199"/>
      <c r="BI522" s="182"/>
      <c r="BJ522" s="200"/>
      <c r="BK522" s="199"/>
      <c r="BL522" s="199"/>
      <c r="BM522" s="182"/>
      <c r="BN522" s="200"/>
      <c r="BO522" s="199"/>
      <c r="BP522" s="199"/>
      <c r="BQ522" s="182"/>
      <c r="BR522" s="200"/>
      <c r="BS522" s="199"/>
      <c r="BT522" s="199"/>
      <c r="BU522" s="182"/>
      <c r="BV522" s="200"/>
      <c r="BW522" s="199"/>
      <c r="BX522" s="199"/>
      <c r="BY522" s="182"/>
      <c r="BZ522" s="200"/>
      <c r="CA522" s="199"/>
      <c r="CB522" s="199"/>
      <c r="CC522" s="182"/>
      <c r="CD522" s="200"/>
      <c r="CE522" s="199"/>
      <c r="CF522" s="199"/>
      <c r="CG522" s="182"/>
      <c r="CH522" s="200"/>
      <c r="CI522" s="199"/>
      <c r="CJ522" s="199"/>
      <c r="CK522" s="182"/>
      <c r="CL522" s="200"/>
      <c r="CM522" s="199"/>
      <c r="CN522" s="199"/>
      <c r="CO522" s="182"/>
      <c r="CP522" s="200"/>
      <c r="CQ522" s="199"/>
      <c r="CR522" s="199"/>
      <c r="CS522" s="182"/>
      <c r="CT522" s="200"/>
      <c r="CU522" s="199"/>
      <c r="CV522" s="199"/>
      <c r="CW522" s="182"/>
      <c r="CX522" s="200"/>
      <c r="CY522" s="199"/>
      <c r="CZ522" s="199"/>
      <c r="DA522" s="182"/>
      <c r="DB522" s="200"/>
      <c r="DC522" s="199"/>
      <c r="DD522" s="199"/>
      <c r="DE522" s="182"/>
      <c r="DF522" s="200"/>
      <c r="DG522" s="199"/>
      <c r="DH522" s="199"/>
      <c r="DI522" s="182"/>
      <c r="DJ522" s="200"/>
      <c r="DK522" s="199"/>
      <c r="DL522" s="199"/>
      <c r="DM522" s="182"/>
      <c r="DN522" s="200"/>
      <c r="DO522" s="199"/>
      <c r="DP522" s="199"/>
      <c r="DQ522" s="182"/>
      <c r="DR522" s="200"/>
      <c r="DS522" s="199"/>
      <c r="DT522" s="199"/>
      <c r="DU522" s="182"/>
      <c r="DV522" s="200"/>
      <c r="DW522" s="199"/>
      <c r="DX522" s="199"/>
      <c r="DY522" s="182"/>
      <c r="DZ522" s="200"/>
      <c r="EA522" s="199"/>
      <c r="EB522" s="199"/>
      <c r="EC522" s="182"/>
      <c r="ED522" s="200"/>
      <c r="EE522" s="199"/>
      <c r="EF522" s="199"/>
      <c r="EG522" s="182"/>
      <c r="EH522" s="200"/>
      <c r="EI522" s="199"/>
      <c r="EJ522" s="199"/>
      <c r="EK522" s="182"/>
      <c r="EL522" s="200"/>
      <c r="EM522" s="199"/>
      <c r="EN522" s="199"/>
      <c r="EO522" s="182"/>
      <c r="EP522" s="200"/>
      <c r="EQ522" s="199"/>
      <c r="ER522" s="199"/>
      <c r="ES522" s="182"/>
      <c r="ET522" s="200"/>
      <c r="EU522" s="199"/>
      <c r="EV522" s="199"/>
      <c r="EW522" s="182"/>
      <c r="EX522" s="200"/>
      <c r="EY522" s="199"/>
      <c r="EZ522" s="199"/>
      <c r="FA522" s="182"/>
      <c r="FB522" s="200"/>
      <c r="FC522" s="199"/>
      <c r="FD522" s="199"/>
      <c r="FE522" s="182"/>
      <c r="FF522" s="200"/>
      <c r="FG522" s="199"/>
      <c r="FH522" s="199"/>
      <c r="FI522" s="182"/>
      <c r="FJ522" s="200"/>
      <c r="FK522" s="199"/>
      <c r="FL522" s="199"/>
      <c r="FM522" s="182"/>
      <c r="FN522" s="200"/>
      <c r="FO522" s="199"/>
      <c r="FP522" s="199"/>
      <c r="FQ522" s="182"/>
      <c r="FR522" s="200"/>
      <c r="FS522" s="199"/>
      <c r="FT522" s="199"/>
      <c r="FU522" s="182"/>
      <c r="FV522" s="200"/>
      <c r="FW522" s="199"/>
      <c r="FX522" s="199"/>
      <c r="FY522" s="182"/>
      <c r="FZ522" s="200"/>
      <c r="GA522" s="199"/>
      <c r="GB522" s="199"/>
      <c r="GC522" s="182"/>
      <c r="GD522" s="200"/>
      <c r="GE522" s="199"/>
      <c r="GF522" s="199"/>
      <c r="GG522" s="182"/>
      <c r="GH522" s="200"/>
      <c r="GI522" s="199"/>
      <c r="GJ522" s="199"/>
      <c r="GK522" s="182"/>
      <c r="GL522" s="200"/>
      <c r="GM522" s="199"/>
      <c r="GN522" s="199"/>
      <c r="GO522" s="182"/>
      <c r="GP522" s="200"/>
      <c r="GQ522" s="199"/>
      <c r="GR522" s="199"/>
      <c r="GS522" s="182"/>
      <c r="GT522" s="200"/>
      <c r="GU522" s="199"/>
      <c r="GV522" s="199"/>
      <c r="GW522" s="182"/>
      <c r="GX522" s="200"/>
      <c r="GY522" s="199"/>
      <c r="GZ522" s="199"/>
      <c r="HA522" s="182"/>
      <c r="HB522" s="200"/>
      <c r="HC522" s="199"/>
      <c r="HD522" s="199"/>
      <c r="HE522" s="182"/>
      <c r="HF522" s="200"/>
      <c r="HG522" s="199"/>
      <c r="HH522" s="199"/>
      <c r="HI522" s="182"/>
      <c r="HJ522" s="200"/>
      <c r="HK522" s="199"/>
      <c r="HL522" s="199"/>
      <c r="HM522" s="182"/>
      <c r="HN522" s="200"/>
      <c r="HO522" s="199"/>
      <c r="HP522" s="199"/>
      <c r="HQ522" s="182"/>
      <c r="HR522" s="200"/>
      <c r="HS522" s="199"/>
      <c r="HT522" s="199"/>
      <c r="HU522" s="182"/>
      <c r="HV522" s="200"/>
      <c r="HW522" s="199"/>
      <c r="HX522" s="199"/>
      <c r="HY522" s="182"/>
      <c r="HZ522" s="200"/>
      <c r="IA522" s="199"/>
      <c r="IB522" s="199"/>
      <c r="IC522" s="182"/>
      <c r="ID522" s="200"/>
      <c r="IE522" s="199"/>
      <c r="IF522" s="199"/>
      <c r="IG522" s="182"/>
      <c r="IH522" s="200"/>
      <c r="II522" s="199"/>
      <c r="IJ522" s="199"/>
      <c r="IK522" s="182"/>
      <c r="IL522" s="200"/>
      <c r="IM522" s="199"/>
      <c r="IN522" s="199"/>
      <c r="IO522" s="182"/>
      <c r="IP522" s="200"/>
      <c r="IQ522" s="199"/>
      <c r="IR522" s="199"/>
      <c r="IS522" s="182"/>
    </row>
    <row r="523" spans="1:253" ht="15.75" thickBot="1" x14ac:dyDescent="0.25">
      <c r="A523" s="935" t="str">
        <f>RRI!D13</f>
        <v>5.1.2 Gestión de financiamiento para la elaboración del Plan de Gestión y Manejo de visitantes del PNSL</v>
      </c>
      <c r="B523" s="935"/>
      <c r="C523" s="935"/>
      <c r="D523" s="719"/>
      <c r="E523" s="654"/>
      <c r="F523" s="655"/>
      <c r="G523" s="656"/>
      <c r="H523" s="657"/>
      <c r="I523" s="658">
        <f>SUM(I524:I528)</f>
        <v>30250</v>
      </c>
      <c r="J523" s="655">
        <f>I523</f>
        <v>30250</v>
      </c>
      <c r="K523" s="199"/>
      <c r="L523" s="199"/>
      <c r="M523" s="182"/>
      <c r="N523" s="200"/>
      <c r="O523" s="199"/>
      <c r="P523" s="199"/>
      <c r="Q523" s="182"/>
      <c r="R523" s="200"/>
      <c r="S523" s="199"/>
      <c r="T523" s="199"/>
      <c r="U523" s="182"/>
      <c r="V523" s="200"/>
      <c r="W523" s="199"/>
      <c r="X523" s="199"/>
      <c r="Y523" s="182"/>
      <c r="Z523" s="200"/>
      <c r="AA523" s="199"/>
      <c r="AB523" s="199"/>
      <c r="AC523" s="182"/>
      <c r="AD523" s="200"/>
      <c r="AE523" s="199"/>
      <c r="AF523" s="199"/>
      <c r="AG523" s="182"/>
      <c r="AH523" s="200"/>
      <c r="AI523" s="199"/>
      <c r="AJ523" s="199"/>
      <c r="AK523" s="182"/>
      <c r="AL523" s="200"/>
      <c r="AM523" s="199"/>
      <c r="AN523" s="199"/>
      <c r="AO523" s="182"/>
      <c r="AP523" s="200"/>
      <c r="AQ523" s="199"/>
      <c r="AR523" s="199"/>
      <c r="AS523" s="182"/>
      <c r="AT523" s="200"/>
      <c r="AU523" s="199"/>
      <c r="AV523" s="199"/>
      <c r="AW523" s="182"/>
      <c r="AX523" s="200"/>
      <c r="AY523" s="199"/>
      <c r="AZ523" s="199"/>
      <c r="BA523" s="182"/>
      <c r="BB523" s="200"/>
      <c r="BC523" s="199"/>
      <c r="BD523" s="199"/>
      <c r="BE523" s="182"/>
      <c r="BF523" s="200"/>
      <c r="BG523" s="199"/>
      <c r="BH523" s="199"/>
      <c r="BI523" s="182"/>
      <c r="BJ523" s="200"/>
      <c r="BK523" s="199"/>
      <c r="BL523" s="199"/>
      <c r="BM523" s="182"/>
      <c r="BN523" s="200"/>
      <c r="BO523" s="199"/>
      <c r="BP523" s="199"/>
      <c r="BQ523" s="182"/>
      <c r="BR523" s="200"/>
      <c r="BS523" s="199"/>
      <c r="BT523" s="199"/>
      <c r="BU523" s="182"/>
      <c r="BV523" s="200"/>
      <c r="BW523" s="199"/>
      <c r="BX523" s="199"/>
      <c r="BY523" s="182"/>
      <c r="BZ523" s="200"/>
      <c r="CA523" s="199"/>
      <c r="CB523" s="199"/>
      <c r="CC523" s="182"/>
      <c r="CD523" s="200"/>
      <c r="CE523" s="199"/>
      <c r="CF523" s="199"/>
      <c r="CG523" s="182"/>
      <c r="CH523" s="200"/>
      <c r="CI523" s="199"/>
      <c r="CJ523" s="199"/>
      <c r="CK523" s="182"/>
      <c r="CL523" s="200"/>
      <c r="CM523" s="199"/>
      <c r="CN523" s="199"/>
      <c r="CO523" s="182"/>
      <c r="CP523" s="200"/>
      <c r="CQ523" s="199"/>
      <c r="CR523" s="199"/>
      <c r="CS523" s="182"/>
      <c r="CT523" s="200"/>
      <c r="CU523" s="199"/>
      <c r="CV523" s="199"/>
      <c r="CW523" s="182"/>
      <c r="CX523" s="200"/>
      <c r="CY523" s="199"/>
      <c r="CZ523" s="199"/>
      <c r="DA523" s="182"/>
      <c r="DB523" s="200"/>
      <c r="DC523" s="199"/>
      <c r="DD523" s="199"/>
      <c r="DE523" s="182"/>
      <c r="DF523" s="200"/>
      <c r="DG523" s="199"/>
      <c r="DH523" s="199"/>
      <c r="DI523" s="182"/>
      <c r="DJ523" s="200"/>
      <c r="DK523" s="199"/>
      <c r="DL523" s="199"/>
      <c r="DM523" s="182"/>
      <c r="DN523" s="200"/>
      <c r="DO523" s="199"/>
      <c r="DP523" s="199"/>
      <c r="DQ523" s="182"/>
      <c r="DR523" s="200"/>
      <c r="DS523" s="199"/>
      <c r="DT523" s="199"/>
      <c r="DU523" s="182"/>
      <c r="DV523" s="200"/>
      <c r="DW523" s="199"/>
      <c r="DX523" s="199"/>
      <c r="DY523" s="182"/>
      <c r="DZ523" s="200"/>
      <c r="EA523" s="199"/>
      <c r="EB523" s="199"/>
      <c r="EC523" s="182"/>
      <c r="ED523" s="200"/>
      <c r="EE523" s="199"/>
      <c r="EF523" s="199"/>
      <c r="EG523" s="182"/>
      <c r="EH523" s="200"/>
      <c r="EI523" s="199"/>
      <c r="EJ523" s="199"/>
      <c r="EK523" s="182"/>
      <c r="EL523" s="200"/>
      <c r="EM523" s="199"/>
      <c r="EN523" s="199"/>
      <c r="EO523" s="182"/>
      <c r="EP523" s="200"/>
      <c r="EQ523" s="199"/>
      <c r="ER523" s="199"/>
      <c r="ES523" s="182"/>
      <c r="ET523" s="200"/>
      <c r="EU523" s="199"/>
      <c r="EV523" s="199"/>
      <c r="EW523" s="182"/>
      <c r="EX523" s="200"/>
      <c r="EY523" s="199"/>
      <c r="EZ523" s="199"/>
      <c r="FA523" s="182"/>
      <c r="FB523" s="200"/>
      <c r="FC523" s="199"/>
      <c r="FD523" s="199"/>
      <c r="FE523" s="182"/>
      <c r="FF523" s="200"/>
      <c r="FG523" s="199"/>
      <c r="FH523" s="199"/>
      <c r="FI523" s="182"/>
      <c r="FJ523" s="200"/>
      <c r="FK523" s="199"/>
      <c r="FL523" s="199"/>
      <c r="FM523" s="182"/>
      <c r="FN523" s="200"/>
      <c r="FO523" s="199"/>
      <c r="FP523" s="199"/>
      <c r="FQ523" s="182"/>
      <c r="FR523" s="200"/>
      <c r="FS523" s="199"/>
      <c r="FT523" s="199"/>
      <c r="FU523" s="182"/>
      <c r="FV523" s="200"/>
      <c r="FW523" s="199"/>
      <c r="FX523" s="199"/>
      <c r="FY523" s="182"/>
      <c r="FZ523" s="200"/>
      <c r="GA523" s="199"/>
      <c r="GB523" s="199"/>
      <c r="GC523" s="182"/>
      <c r="GD523" s="200"/>
      <c r="GE523" s="199"/>
      <c r="GF523" s="199"/>
      <c r="GG523" s="182"/>
      <c r="GH523" s="200"/>
      <c r="GI523" s="199"/>
      <c r="GJ523" s="199"/>
      <c r="GK523" s="182"/>
      <c r="GL523" s="200"/>
      <c r="GM523" s="199"/>
      <c r="GN523" s="199"/>
      <c r="GO523" s="182"/>
      <c r="GP523" s="200"/>
      <c r="GQ523" s="199"/>
      <c r="GR523" s="199"/>
      <c r="GS523" s="182"/>
      <c r="GT523" s="200"/>
      <c r="GU523" s="199"/>
      <c r="GV523" s="199"/>
      <c r="GW523" s="182"/>
      <c r="GX523" s="200"/>
      <c r="GY523" s="199"/>
      <c r="GZ523" s="199"/>
      <c r="HA523" s="182"/>
      <c r="HB523" s="200"/>
      <c r="HC523" s="199"/>
      <c r="HD523" s="199"/>
      <c r="HE523" s="182"/>
      <c r="HF523" s="200"/>
      <c r="HG523" s="199"/>
      <c r="HH523" s="199"/>
      <c r="HI523" s="182"/>
      <c r="HJ523" s="200"/>
      <c r="HK523" s="199"/>
      <c r="HL523" s="199"/>
      <c r="HM523" s="182"/>
      <c r="HN523" s="200"/>
      <c r="HO523" s="199"/>
      <c r="HP523" s="199"/>
      <c r="HQ523" s="182"/>
      <c r="HR523" s="200"/>
      <c r="HS523" s="199"/>
      <c r="HT523" s="199"/>
      <c r="HU523" s="182"/>
      <c r="HV523" s="200"/>
      <c r="HW523" s="199"/>
      <c r="HX523" s="199"/>
      <c r="HY523" s="182"/>
      <c r="HZ523" s="200"/>
      <c r="IA523" s="199"/>
      <c r="IB523" s="199"/>
      <c r="IC523" s="182"/>
      <c r="ID523" s="200"/>
      <c r="IE523" s="199"/>
      <c r="IF523" s="199"/>
      <c r="IG523" s="182"/>
      <c r="IH523" s="200"/>
      <c r="II523" s="199"/>
      <c r="IJ523" s="199"/>
      <c r="IK523" s="182"/>
      <c r="IL523" s="200"/>
      <c r="IM523" s="199"/>
      <c r="IN523" s="199"/>
      <c r="IO523" s="182"/>
      <c r="IP523" s="200"/>
      <c r="IQ523" s="199"/>
      <c r="IR523" s="199"/>
      <c r="IS523" s="182"/>
    </row>
    <row r="524" spans="1:253" ht="15" x14ac:dyDescent="0.2">
      <c r="A524" s="707" t="s">
        <v>34</v>
      </c>
      <c r="B524" s="713">
        <v>11</v>
      </c>
      <c r="C524" s="713" t="s">
        <v>128</v>
      </c>
      <c r="D524" s="659">
        <v>715</v>
      </c>
      <c r="E524" s="649">
        <v>0</v>
      </c>
      <c r="F524" s="650">
        <v>0</v>
      </c>
      <c r="G524" s="651">
        <v>2</v>
      </c>
      <c r="H524" s="652">
        <v>30</v>
      </c>
      <c r="I524" s="310">
        <f t="shared" si="148"/>
        <v>21450</v>
      </c>
      <c r="J524" s="650">
        <f>F524+I524</f>
        <v>21450</v>
      </c>
      <c r="K524" s="199"/>
      <c r="L524" s="199"/>
      <c r="M524" s="182"/>
      <c r="N524" s="200"/>
      <c r="O524" s="199"/>
      <c r="P524" s="199"/>
      <c r="Q524" s="182"/>
      <c r="R524" s="200"/>
      <c r="S524" s="199"/>
      <c r="T524" s="199"/>
      <c r="U524" s="182"/>
      <c r="V524" s="200"/>
      <c r="W524" s="199"/>
      <c r="X524" s="199"/>
      <c r="Y524" s="182"/>
      <c r="Z524" s="200"/>
      <c r="AA524" s="199"/>
      <c r="AB524" s="199"/>
      <c r="AC524" s="182"/>
      <c r="AD524" s="200"/>
      <c r="AE524" s="199"/>
      <c r="AF524" s="199"/>
      <c r="AG524" s="182"/>
      <c r="AH524" s="200"/>
      <c r="AI524" s="199"/>
      <c r="AJ524" s="199"/>
      <c r="AK524" s="182"/>
      <c r="AL524" s="200"/>
      <c r="AM524" s="199"/>
      <c r="AN524" s="199"/>
      <c r="AO524" s="182"/>
      <c r="AP524" s="200"/>
      <c r="AQ524" s="199"/>
      <c r="AR524" s="199"/>
      <c r="AS524" s="182"/>
      <c r="AT524" s="200"/>
      <c r="AU524" s="199"/>
      <c r="AV524" s="199"/>
      <c r="AW524" s="182"/>
      <c r="AX524" s="200"/>
      <c r="AY524" s="199"/>
      <c r="AZ524" s="199"/>
      <c r="BA524" s="182"/>
      <c r="BB524" s="200"/>
      <c r="BC524" s="199"/>
      <c r="BD524" s="199"/>
      <c r="BE524" s="182"/>
      <c r="BF524" s="200"/>
      <c r="BG524" s="199"/>
      <c r="BH524" s="199"/>
      <c r="BI524" s="182"/>
      <c r="BJ524" s="200"/>
      <c r="BK524" s="199"/>
      <c r="BL524" s="199"/>
      <c r="BM524" s="182"/>
      <c r="BN524" s="200"/>
      <c r="BO524" s="199"/>
      <c r="BP524" s="199"/>
      <c r="BQ524" s="182"/>
      <c r="BR524" s="200"/>
      <c r="BS524" s="199"/>
      <c r="BT524" s="199"/>
      <c r="BU524" s="182"/>
      <c r="BV524" s="200"/>
      <c r="BW524" s="199"/>
      <c r="BX524" s="199"/>
      <c r="BY524" s="182"/>
      <c r="BZ524" s="200"/>
      <c r="CA524" s="199"/>
      <c r="CB524" s="199"/>
      <c r="CC524" s="182"/>
      <c r="CD524" s="200"/>
      <c r="CE524" s="199"/>
      <c r="CF524" s="199"/>
      <c r="CG524" s="182"/>
      <c r="CH524" s="200"/>
      <c r="CI524" s="199"/>
      <c r="CJ524" s="199"/>
      <c r="CK524" s="182"/>
      <c r="CL524" s="200"/>
      <c r="CM524" s="199"/>
      <c r="CN524" s="199"/>
      <c r="CO524" s="182"/>
      <c r="CP524" s="200"/>
      <c r="CQ524" s="199"/>
      <c r="CR524" s="199"/>
      <c r="CS524" s="182"/>
      <c r="CT524" s="200"/>
      <c r="CU524" s="199"/>
      <c r="CV524" s="199"/>
      <c r="CW524" s="182"/>
      <c r="CX524" s="200"/>
      <c r="CY524" s="199"/>
      <c r="CZ524" s="199"/>
      <c r="DA524" s="182"/>
      <c r="DB524" s="200"/>
      <c r="DC524" s="199"/>
      <c r="DD524" s="199"/>
      <c r="DE524" s="182"/>
      <c r="DF524" s="200"/>
      <c r="DG524" s="199"/>
      <c r="DH524" s="199"/>
      <c r="DI524" s="182"/>
      <c r="DJ524" s="200"/>
      <c r="DK524" s="199"/>
      <c r="DL524" s="199"/>
      <c r="DM524" s="182"/>
      <c r="DN524" s="200"/>
      <c r="DO524" s="199"/>
      <c r="DP524" s="199"/>
      <c r="DQ524" s="182"/>
      <c r="DR524" s="200"/>
      <c r="DS524" s="199"/>
      <c r="DT524" s="199"/>
      <c r="DU524" s="182"/>
      <c r="DV524" s="200"/>
      <c r="DW524" s="199"/>
      <c r="DX524" s="199"/>
      <c r="DY524" s="182"/>
      <c r="DZ524" s="200"/>
      <c r="EA524" s="199"/>
      <c r="EB524" s="199"/>
      <c r="EC524" s="182"/>
      <c r="ED524" s="200"/>
      <c r="EE524" s="199"/>
      <c r="EF524" s="199"/>
      <c r="EG524" s="182"/>
      <c r="EH524" s="200"/>
      <c r="EI524" s="199"/>
      <c r="EJ524" s="199"/>
      <c r="EK524" s="182"/>
      <c r="EL524" s="200"/>
      <c r="EM524" s="199"/>
      <c r="EN524" s="199"/>
      <c r="EO524" s="182"/>
      <c r="EP524" s="200"/>
      <c r="EQ524" s="199"/>
      <c r="ER524" s="199"/>
      <c r="ES524" s="182"/>
      <c r="ET524" s="200"/>
      <c r="EU524" s="199"/>
      <c r="EV524" s="199"/>
      <c r="EW524" s="182"/>
      <c r="EX524" s="200"/>
      <c r="EY524" s="199"/>
      <c r="EZ524" s="199"/>
      <c r="FA524" s="182"/>
      <c r="FB524" s="200"/>
      <c r="FC524" s="199"/>
      <c r="FD524" s="199"/>
      <c r="FE524" s="182"/>
      <c r="FF524" s="200"/>
      <c r="FG524" s="199"/>
      <c r="FH524" s="199"/>
      <c r="FI524" s="182"/>
      <c r="FJ524" s="200"/>
      <c r="FK524" s="199"/>
      <c r="FL524" s="199"/>
      <c r="FM524" s="182"/>
      <c r="FN524" s="200"/>
      <c r="FO524" s="199"/>
      <c r="FP524" s="199"/>
      <c r="FQ524" s="182"/>
      <c r="FR524" s="200"/>
      <c r="FS524" s="199"/>
      <c r="FT524" s="199"/>
      <c r="FU524" s="182"/>
      <c r="FV524" s="200"/>
      <c r="FW524" s="199"/>
      <c r="FX524" s="199"/>
      <c r="FY524" s="182"/>
      <c r="FZ524" s="200"/>
      <c r="GA524" s="199"/>
      <c r="GB524" s="199"/>
      <c r="GC524" s="182"/>
      <c r="GD524" s="200"/>
      <c r="GE524" s="199"/>
      <c r="GF524" s="199"/>
      <c r="GG524" s="182"/>
      <c r="GH524" s="200"/>
      <c r="GI524" s="199"/>
      <c r="GJ524" s="199"/>
      <c r="GK524" s="182"/>
      <c r="GL524" s="200"/>
      <c r="GM524" s="199"/>
      <c r="GN524" s="199"/>
      <c r="GO524" s="182"/>
      <c r="GP524" s="200"/>
      <c r="GQ524" s="199"/>
      <c r="GR524" s="199"/>
      <c r="GS524" s="182"/>
      <c r="GT524" s="200"/>
      <c r="GU524" s="199"/>
      <c r="GV524" s="199"/>
      <c r="GW524" s="182"/>
      <c r="GX524" s="200"/>
      <c r="GY524" s="199"/>
      <c r="GZ524" s="199"/>
      <c r="HA524" s="182"/>
      <c r="HB524" s="200"/>
      <c r="HC524" s="199"/>
      <c r="HD524" s="199"/>
      <c r="HE524" s="182"/>
      <c r="HF524" s="200"/>
      <c r="HG524" s="199"/>
      <c r="HH524" s="199"/>
      <c r="HI524" s="182"/>
      <c r="HJ524" s="200"/>
      <c r="HK524" s="199"/>
      <c r="HL524" s="199"/>
      <c r="HM524" s="182"/>
      <c r="HN524" s="200"/>
      <c r="HO524" s="199"/>
      <c r="HP524" s="199"/>
      <c r="HQ524" s="182"/>
      <c r="HR524" s="200"/>
      <c r="HS524" s="199"/>
      <c r="HT524" s="199"/>
      <c r="HU524" s="182"/>
      <c r="HV524" s="200"/>
      <c r="HW524" s="199"/>
      <c r="HX524" s="199"/>
      <c r="HY524" s="182"/>
      <c r="HZ524" s="200"/>
      <c r="IA524" s="199"/>
      <c r="IB524" s="199"/>
      <c r="IC524" s="182"/>
      <c r="ID524" s="200"/>
      <c r="IE524" s="199"/>
      <c r="IF524" s="199"/>
      <c r="IG524" s="182"/>
      <c r="IH524" s="200"/>
      <c r="II524" s="199"/>
      <c r="IJ524" s="199"/>
      <c r="IK524" s="182"/>
      <c r="IL524" s="200"/>
      <c r="IM524" s="199"/>
      <c r="IN524" s="199"/>
      <c r="IO524" s="182"/>
      <c r="IP524" s="200"/>
      <c r="IQ524" s="199"/>
      <c r="IR524" s="199"/>
      <c r="IS524" s="182"/>
    </row>
    <row r="525" spans="1:253" ht="15" x14ac:dyDescent="0.2">
      <c r="A525" s="711" t="s">
        <v>203</v>
      </c>
      <c r="B525" s="713">
        <v>211</v>
      </c>
      <c r="C525" s="713" t="s">
        <v>28</v>
      </c>
      <c r="D525" s="659">
        <v>50</v>
      </c>
      <c r="E525" s="649">
        <v>0</v>
      </c>
      <c r="F525" s="650">
        <v>0</v>
      </c>
      <c r="G525" s="651">
        <v>2</v>
      </c>
      <c r="H525" s="652">
        <f>8*3</f>
        <v>24</v>
      </c>
      <c r="I525" s="653">
        <f>H525*D525</f>
        <v>1200</v>
      </c>
      <c r="J525" s="650">
        <f>F525+I525</f>
        <v>1200</v>
      </c>
      <c r="K525" s="199"/>
      <c r="L525" s="199"/>
      <c r="M525" s="182"/>
      <c r="N525" s="200"/>
      <c r="O525" s="199"/>
      <c r="P525" s="199"/>
      <c r="Q525" s="182"/>
      <c r="R525" s="200"/>
      <c r="S525" s="199"/>
      <c r="T525" s="199"/>
      <c r="U525" s="182"/>
      <c r="V525" s="200"/>
      <c r="W525" s="199"/>
      <c r="X525" s="199"/>
      <c r="Y525" s="182"/>
      <c r="Z525" s="200"/>
      <c r="AA525" s="199"/>
      <c r="AB525" s="199"/>
      <c r="AC525" s="182"/>
      <c r="AD525" s="200"/>
      <c r="AE525" s="199"/>
      <c r="AF525" s="199"/>
      <c r="AG525" s="182"/>
      <c r="AH525" s="200"/>
      <c r="AI525" s="199"/>
      <c r="AJ525" s="199"/>
      <c r="AK525" s="182"/>
      <c r="AL525" s="200"/>
      <c r="AM525" s="199"/>
      <c r="AN525" s="199"/>
      <c r="AO525" s="182"/>
      <c r="AP525" s="200"/>
      <c r="AQ525" s="199"/>
      <c r="AR525" s="199"/>
      <c r="AS525" s="182"/>
      <c r="AT525" s="200"/>
      <c r="AU525" s="199"/>
      <c r="AV525" s="199"/>
      <c r="AW525" s="182"/>
      <c r="AX525" s="200"/>
      <c r="AY525" s="199"/>
      <c r="AZ525" s="199"/>
      <c r="BA525" s="182"/>
      <c r="BB525" s="200"/>
      <c r="BC525" s="199"/>
      <c r="BD525" s="199"/>
      <c r="BE525" s="182"/>
      <c r="BF525" s="200"/>
      <c r="BG525" s="199"/>
      <c r="BH525" s="199"/>
      <c r="BI525" s="182"/>
      <c r="BJ525" s="200"/>
      <c r="BK525" s="199"/>
      <c r="BL525" s="199"/>
      <c r="BM525" s="182"/>
      <c r="BN525" s="200"/>
      <c r="BO525" s="199"/>
      <c r="BP525" s="199"/>
      <c r="BQ525" s="182"/>
      <c r="BR525" s="200"/>
      <c r="BS525" s="199"/>
      <c r="BT525" s="199"/>
      <c r="BU525" s="182"/>
      <c r="BV525" s="200"/>
      <c r="BW525" s="199"/>
      <c r="BX525" s="199"/>
      <c r="BY525" s="182"/>
      <c r="BZ525" s="200"/>
      <c r="CA525" s="199"/>
      <c r="CB525" s="199"/>
      <c r="CC525" s="182"/>
      <c r="CD525" s="200"/>
      <c r="CE525" s="199"/>
      <c r="CF525" s="199"/>
      <c r="CG525" s="182"/>
      <c r="CH525" s="200"/>
      <c r="CI525" s="199"/>
      <c r="CJ525" s="199"/>
      <c r="CK525" s="182"/>
      <c r="CL525" s="200"/>
      <c r="CM525" s="199"/>
      <c r="CN525" s="199"/>
      <c r="CO525" s="182"/>
      <c r="CP525" s="200"/>
      <c r="CQ525" s="199"/>
      <c r="CR525" s="199"/>
      <c r="CS525" s="182"/>
      <c r="CT525" s="200"/>
      <c r="CU525" s="199"/>
      <c r="CV525" s="199"/>
      <c r="CW525" s="182"/>
      <c r="CX525" s="200"/>
      <c r="CY525" s="199"/>
      <c r="CZ525" s="199"/>
      <c r="DA525" s="182"/>
      <c r="DB525" s="200"/>
      <c r="DC525" s="199"/>
      <c r="DD525" s="199"/>
      <c r="DE525" s="182"/>
      <c r="DF525" s="200"/>
      <c r="DG525" s="199"/>
      <c r="DH525" s="199"/>
      <c r="DI525" s="182"/>
      <c r="DJ525" s="200"/>
      <c r="DK525" s="199"/>
      <c r="DL525" s="199"/>
      <c r="DM525" s="182"/>
      <c r="DN525" s="200"/>
      <c r="DO525" s="199"/>
      <c r="DP525" s="199"/>
      <c r="DQ525" s="182"/>
      <c r="DR525" s="200"/>
      <c r="DS525" s="199"/>
      <c r="DT525" s="199"/>
      <c r="DU525" s="182"/>
      <c r="DV525" s="200"/>
      <c r="DW525" s="199"/>
      <c r="DX525" s="199"/>
      <c r="DY525" s="182"/>
      <c r="DZ525" s="200"/>
      <c r="EA525" s="199"/>
      <c r="EB525" s="199"/>
      <c r="EC525" s="182"/>
      <c r="ED525" s="200"/>
      <c r="EE525" s="199"/>
      <c r="EF525" s="199"/>
      <c r="EG525" s="182"/>
      <c r="EH525" s="200"/>
      <c r="EI525" s="199"/>
      <c r="EJ525" s="199"/>
      <c r="EK525" s="182"/>
      <c r="EL525" s="200"/>
      <c r="EM525" s="199"/>
      <c r="EN525" s="199"/>
      <c r="EO525" s="182"/>
      <c r="EP525" s="200"/>
      <c r="EQ525" s="199"/>
      <c r="ER525" s="199"/>
      <c r="ES525" s="182"/>
      <c r="ET525" s="200"/>
      <c r="EU525" s="199"/>
      <c r="EV525" s="199"/>
      <c r="EW525" s="182"/>
      <c r="EX525" s="200"/>
      <c r="EY525" s="199"/>
      <c r="EZ525" s="199"/>
      <c r="FA525" s="182"/>
      <c r="FB525" s="200"/>
      <c r="FC525" s="199"/>
      <c r="FD525" s="199"/>
      <c r="FE525" s="182"/>
      <c r="FF525" s="200"/>
      <c r="FG525" s="199"/>
      <c r="FH525" s="199"/>
      <c r="FI525" s="182"/>
      <c r="FJ525" s="200"/>
      <c r="FK525" s="199"/>
      <c r="FL525" s="199"/>
      <c r="FM525" s="182"/>
      <c r="FN525" s="200"/>
      <c r="FO525" s="199"/>
      <c r="FP525" s="199"/>
      <c r="FQ525" s="182"/>
      <c r="FR525" s="200"/>
      <c r="FS525" s="199"/>
      <c r="FT525" s="199"/>
      <c r="FU525" s="182"/>
      <c r="FV525" s="200"/>
      <c r="FW525" s="199"/>
      <c r="FX525" s="199"/>
      <c r="FY525" s="182"/>
      <c r="FZ525" s="200"/>
      <c r="GA525" s="199"/>
      <c r="GB525" s="199"/>
      <c r="GC525" s="182"/>
      <c r="GD525" s="200"/>
      <c r="GE525" s="199"/>
      <c r="GF525" s="199"/>
      <c r="GG525" s="182"/>
      <c r="GH525" s="200"/>
      <c r="GI525" s="199"/>
      <c r="GJ525" s="199"/>
      <c r="GK525" s="182"/>
      <c r="GL525" s="200"/>
      <c r="GM525" s="199"/>
      <c r="GN525" s="199"/>
      <c r="GO525" s="182"/>
      <c r="GP525" s="200"/>
      <c r="GQ525" s="199"/>
      <c r="GR525" s="199"/>
      <c r="GS525" s="182"/>
      <c r="GT525" s="200"/>
      <c r="GU525" s="199"/>
      <c r="GV525" s="199"/>
      <c r="GW525" s="182"/>
      <c r="GX525" s="200"/>
      <c r="GY525" s="199"/>
      <c r="GZ525" s="199"/>
      <c r="HA525" s="182"/>
      <c r="HB525" s="200"/>
      <c r="HC525" s="199"/>
      <c r="HD525" s="199"/>
      <c r="HE525" s="182"/>
      <c r="HF525" s="200"/>
      <c r="HG525" s="199"/>
      <c r="HH525" s="199"/>
      <c r="HI525" s="182"/>
      <c r="HJ525" s="200"/>
      <c r="HK525" s="199"/>
      <c r="HL525" s="199"/>
      <c r="HM525" s="182"/>
      <c r="HN525" s="200"/>
      <c r="HO525" s="199"/>
      <c r="HP525" s="199"/>
      <c r="HQ525" s="182"/>
      <c r="HR525" s="200"/>
      <c r="HS525" s="199"/>
      <c r="HT525" s="199"/>
      <c r="HU525" s="182"/>
      <c r="HV525" s="200"/>
      <c r="HW525" s="199"/>
      <c r="HX525" s="199"/>
      <c r="HY525" s="182"/>
      <c r="HZ525" s="200"/>
      <c r="IA525" s="199"/>
      <c r="IB525" s="199"/>
      <c r="IC525" s="182"/>
      <c r="ID525" s="200"/>
      <c r="IE525" s="199"/>
      <c r="IF525" s="199"/>
      <c r="IG525" s="182"/>
      <c r="IH525" s="200"/>
      <c r="II525" s="199"/>
      <c r="IJ525" s="199"/>
      <c r="IK525" s="182"/>
      <c r="IL525" s="200"/>
      <c r="IM525" s="199"/>
      <c r="IN525" s="199"/>
      <c r="IO525" s="182"/>
      <c r="IP525" s="200"/>
      <c r="IQ525" s="199"/>
      <c r="IR525" s="199"/>
      <c r="IS525" s="182"/>
    </row>
    <row r="526" spans="1:253" ht="15" x14ac:dyDescent="0.2">
      <c r="A526" s="711" t="s">
        <v>121</v>
      </c>
      <c r="B526" s="713">
        <v>262</v>
      </c>
      <c r="C526" s="713" t="s">
        <v>61</v>
      </c>
      <c r="D526" s="659">
        <v>36</v>
      </c>
      <c r="E526" s="649">
        <v>0</v>
      </c>
      <c r="F526" s="650">
        <v>0</v>
      </c>
      <c r="G526" s="651">
        <v>2</v>
      </c>
      <c r="H526" s="652">
        <v>40</v>
      </c>
      <c r="I526" s="653">
        <f>H526*D526</f>
        <v>1440</v>
      </c>
      <c r="J526" s="650">
        <f>F526+I526</f>
        <v>1440</v>
      </c>
      <c r="K526" s="199"/>
      <c r="L526" s="199"/>
      <c r="M526" s="182"/>
      <c r="N526" s="200"/>
      <c r="O526" s="199"/>
      <c r="P526" s="199"/>
      <c r="Q526" s="182"/>
      <c r="R526" s="200"/>
      <c r="S526" s="199"/>
      <c r="T526" s="199"/>
      <c r="U526" s="182"/>
      <c r="V526" s="200"/>
      <c r="W526" s="199"/>
      <c r="X526" s="199"/>
      <c r="Y526" s="182"/>
      <c r="Z526" s="200"/>
      <c r="AA526" s="199"/>
      <c r="AB526" s="199"/>
      <c r="AC526" s="182"/>
      <c r="AD526" s="200"/>
      <c r="AE526" s="199"/>
      <c r="AF526" s="199"/>
      <c r="AG526" s="182"/>
      <c r="AH526" s="200"/>
      <c r="AI526" s="199"/>
      <c r="AJ526" s="199"/>
      <c r="AK526" s="182"/>
      <c r="AL526" s="200"/>
      <c r="AM526" s="199"/>
      <c r="AN526" s="199"/>
      <c r="AO526" s="182"/>
      <c r="AP526" s="200"/>
      <c r="AQ526" s="199"/>
      <c r="AR526" s="199"/>
      <c r="AS526" s="182"/>
      <c r="AT526" s="200"/>
      <c r="AU526" s="199"/>
      <c r="AV526" s="199"/>
      <c r="AW526" s="182"/>
      <c r="AX526" s="200"/>
      <c r="AY526" s="199"/>
      <c r="AZ526" s="199"/>
      <c r="BA526" s="182"/>
      <c r="BB526" s="200"/>
      <c r="BC526" s="199"/>
      <c r="BD526" s="199"/>
      <c r="BE526" s="182"/>
      <c r="BF526" s="200"/>
      <c r="BG526" s="199"/>
      <c r="BH526" s="199"/>
      <c r="BI526" s="182"/>
      <c r="BJ526" s="200"/>
      <c r="BK526" s="199"/>
      <c r="BL526" s="199"/>
      <c r="BM526" s="182"/>
      <c r="BN526" s="200"/>
      <c r="BO526" s="199"/>
      <c r="BP526" s="199"/>
      <c r="BQ526" s="182"/>
      <c r="BR526" s="200"/>
      <c r="BS526" s="199"/>
      <c r="BT526" s="199"/>
      <c r="BU526" s="182"/>
      <c r="BV526" s="200"/>
      <c r="BW526" s="199"/>
      <c r="BX526" s="199"/>
      <c r="BY526" s="182"/>
      <c r="BZ526" s="200"/>
      <c r="CA526" s="199"/>
      <c r="CB526" s="199"/>
      <c r="CC526" s="182"/>
      <c r="CD526" s="200"/>
      <c r="CE526" s="199"/>
      <c r="CF526" s="199"/>
      <c r="CG526" s="182"/>
      <c r="CH526" s="200"/>
      <c r="CI526" s="199"/>
      <c r="CJ526" s="199"/>
      <c r="CK526" s="182"/>
      <c r="CL526" s="200"/>
      <c r="CM526" s="199"/>
      <c r="CN526" s="199"/>
      <c r="CO526" s="182"/>
      <c r="CP526" s="200"/>
      <c r="CQ526" s="199"/>
      <c r="CR526" s="199"/>
      <c r="CS526" s="182"/>
      <c r="CT526" s="200"/>
      <c r="CU526" s="199"/>
      <c r="CV526" s="199"/>
      <c r="CW526" s="182"/>
      <c r="CX526" s="200"/>
      <c r="CY526" s="199"/>
      <c r="CZ526" s="199"/>
      <c r="DA526" s="182"/>
      <c r="DB526" s="200"/>
      <c r="DC526" s="199"/>
      <c r="DD526" s="199"/>
      <c r="DE526" s="182"/>
      <c r="DF526" s="200"/>
      <c r="DG526" s="199"/>
      <c r="DH526" s="199"/>
      <c r="DI526" s="182"/>
      <c r="DJ526" s="200"/>
      <c r="DK526" s="199"/>
      <c r="DL526" s="199"/>
      <c r="DM526" s="182"/>
      <c r="DN526" s="200"/>
      <c r="DO526" s="199"/>
      <c r="DP526" s="199"/>
      <c r="DQ526" s="182"/>
      <c r="DR526" s="200"/>
      <c r="DS526" s="199"/>
      <c r="DT526" s="199"/>
      <c r="DU526" s="182"/>
      <c r="DV526" s="200"/>
      <c r="DW526" s="199"/>
      <c r="DX526" s="199"/>
      <c r="DY526" s="182"/>
      <c r="DZ526" s="200"/>
      <c r="EA526" s="199"/>
      <c r="EB526" s="199"/>
      <c r="EC526" s="182"/>
      <c r="ED526" s="200"/>
      <c r="EE526" s="199"/>
      <c r="EF526" s="199"/>
      <c r="EG526" s="182"/>
      <c r="EH526" s="200"/>
      <c r="EI526" s="199"/>
      <c r="EJ526" s="199"/>
      <c r="EK526" s="182"/>
      <c r="EL526" s="200"/>
      <c r="EM526" s="199"/>
      <c r="EN526" s="199"/>
      <c r="EO526" s="182"/>
      <c r="EP526" s="200"/>
      <c r="EQ526" s="199"/>
      <c r="ER526" s="199"/>
      <c r="ES526" s="182"/>
      <c r="ET526" s="200"/>
      <c r="EU526" s="199"/>
      <c r="EV526" s="199"/>
      <c r="EW526" s="182"/>
      <c r="EX526" s="200"/>
      <c r="EY526" s="199"/>
      <c r="EZ526" s="199"/>
      <c r="FA526" s="182"/>
      <c r="FB526" s="200"/>
      <c r="FC526" s="199"/>
      <c r="FD526" s="199"/>
      <c r="FE526" s="182"/>
      <c r="FF526" s="200"/>
      <c r="FG526" s="199"/>
      <c r="FH526" s="199"/>
      <c r="FI526" s="182"/>
      <c r="FJ526" s="200"/>
      <c r="FK526" s="199"/>
      <c r="FL526" s="199"/>
      <c r="FM526" s="182"/>
      <c r="FN526" s="200"/>
      <c r="FO526" s="199"/>
      <c r="FP526" s="199"/>
      <c r="FQ526" s="182"/>
      <c r="FR526" s="200"/>
      <c r="FS526" s="199"/>
      <c r="FT526" s="199"/>
      <c r="FU526" s="182"/>
      <c r="FV526" s="200"/>
      <c r="FW526" s="199"/>
      <c r="FX526" s="199"/>
      <c r="FY526" s="182"/>
      <c r="FZ526" s="200"/>
      <c r="GA526" s="199"/>
      <c r="GB526" s="199"/>
      <c r="GC526" s="182"/>
      <c r="GD526" s="200"/>
      <c r="GE526" s="199"/>
      <c r="GF526" s="199"/>
      <c r="GG526" s="182"/>
      <c r="GH526" s="200"/>
      <c r="GI526" s="199"/>
      <c r="GJ526" s="199"/>
      <c r="GK526" s="182"/>
      <c r="GL526" s="200"/>
      <c r="GM526" s="199"/>
      <c r="GN526" s="199"/>
      <c r="GO526" s="182"/>
      <c r="GP526" s="200"/>
      <c r="GQ526" s="199"/>
      <c r="GR526" s="199"/>
      <c r="GS526" s="182"/>
      <c r="GT526" s="200"/>
      <c r="GU526" s="199"/>
      <c r="GV526" s="199"/>
      <c r="GW526" s="182"/>
      <c r="GX526" s="200"/>
      <c r="GY526" s="199"/>
      <c r="GZ526" s="199"/>
      <c r="HA526" s="182"/>
      <c r="HB526" s="200"/>
      <c r="HC526" s="199"/>
      <c r="HD526" s="199"/>
      <c r="HE526" s="182"/>
      <c r="HF526" s="200"/>
      <c r="HG526" s="199"/>
      <c r="HH526" s="199"/>
      <c r="HI526" s="182"/>
      <c r="HJ526" s="200"/>
      <c r="HK526" s="199"/>
      <c r="HL526" s="199"/>
      <c r="HM526" s="182"/>
      <c r="HN526" s="200"/>
      <c r="HO526" s="199"/>
      <c r="HP526" s="199"/>
      <c r="HQ526" s="182"/>
      <c r="HR526" s="200"/>
      <c r="HS526" s="199"/>
      <c r="HT526" s="199"/>
      <c r="HU526" s="182"/>
      <c r="HV526" s="200"/>
      <c r="HW526" s="199"/>
      <c r="HX526" s="199"/>
      <c r="HY526" s="182"/>
      <c r="HZ526" s="200"/>
      <c r="IA526" s="199"/>
      <c r="IB526" s="199"/>
      <c r="IC526" s="182"/>
      <c r="ID526" s="200"/>
      <c r="IE526" s="199"/>
      <c r="IF526" s="199"/>
      <c r="IG526" s="182"/>
      <c r="IH526" s="200"/>
      <c r="II526" s="199"/>
      <c r="IJ526" s="199"/>
      <c r="IK526" s="182"/>
      <c r="IL526" s="200"/>
      <c r="IM526" s="199"/>
      <c r="IN526" s="199"/>
      <c r="IO526" s="182"/>
      <c r="IP526" s="200"/>
      <c r="IQ526" s="199"/>
      <c r="IR526" s="199"/>
      <c r="IS526" s="182"/>
    </row>
    <row r="527" spans="1:253" ht="15" x14ac:dyDescent="0.2">
      <c r="A527" s="711" t="s">
        <v>205</v>
      </c>
      <c r="B527" s="713">
        <v>141</v>
      </c>
      <c r="C527" s="713" t="s">
        <v>44</v>
      </c>
      <c r="D527" s="659">
        <v>1800</v>
      </c>
      <c r="E527" s="649">
        <v>0</v>
      </c>
      <c r="F527" s="650">
        <v>0</v>
      </c>
      <c r="G527" s="651">
        <v>2</v>
      </c>
      <c r="H527" s="652">
        <v>2</v>
      </c>
      <c r="I527" s="653">
        <f>D527*H527</f>
        <v>3600</v>
      </c>
      <c r="J527" s="650">
        <f>F527+I527</f>
        <v>3600</v>
      </c>
      <c r="K527" s="199"/>
      <c r="L527" s="199"/>
      <c r="M527" s="182"/>
      <c r="N527" s="200"/>
      <c r="O527" s="199"/>
      <c r="P527" s="199"/>
      <c r="Q527" s="182"/>
      <c r="R527" s="200"/>
      <c r="S527" s="199"/>
      <c r="T527" s="199"/>
      <c r="U527" s="182"/>
      <c r="V527" s="200"/>
      <c r="W527" s="199"/>
      <c r="X527" s="199"/>
      <c r="Y527" s="182"/>
      <c r="Z527" s="200"/>
      <c r="AA527" s="199"/>
      <c r="AB527" s="199"/>
      <c r="AC527" s="182"/>
      <c r="AD527" s="200"/>
      <c r="AE527" s="199"/>
      <c r="AF527" s="199"/>
      <c r="AG527" s="182"/>
      <c r="AH527" s="200"/>
      <c r="AI527" s="199"/>
      <c r="AJ527" s="199"/>
      <c r="AK527" s="182"/>
      <c r="AL527" s="200"/>
      <c r="AM527" s="199"/>
      <c r="AN527" s="199"/>
      <c r="AO527" s="182"/>
      <c r="AP527" s="200"/>
      <c r="AQ527" s="199"/>
      <c r="AR527" s="199"/>
      <c r="AS527" s="182"/>
      <c r="AT527" s="200"/>
      <c r="AU527" s="199"/>
      <c r="AV527" s="199"/>
      <c r="AW527" s="182"/>
      <c r="AX527" s="200"/>
      <c r="AY527" s="199"/>
      <c r="AZ527" s="199"/>
      <c r="BA527" s="182"/>
      <c r="BB527" s="200"/>
      <c r="BC527" s="199"/>
      <c r="BD527" s="199"/>
      <c r="BE527" s="182"/>
      <c r="BF527" s="200"/>
      <c r="BG527" s="199"/>
      <c r="BH527" s="199"/>
      <c r="BI527" s="182"/>
      <c r="BJ527" s="200"/>
      <c r="BK527" s="199"/>
      <c r="BL527" s="199"/>
      <c r="BM527" s="182"/>
      <c r="BN527" s="200"/>
      <c r="BO527" s="199"/>
      <c r="BP527" s="199"/>
      <c r="BQ527" s="182"/>
      <c r="BR527" s="200"/>
      <c r="BS527" s="199"/>
      <c r="BT527" s="199"/>
      <c r="BU527" s="182"/>
      <c r="BV527" s="200"/>
      <c r="BW527" s="199"/>
      <c r="BX527" s="199"/>
      <c r="BY527" s="182"/>
      <c r="BZ527" s="200"/>
      <c r="CA527" s="199"/>
      <c r="CB527" s="199"/>
      <c r="CC527" s="182"/>
      <c r="CD527" s="200"/>
      <c r="CE527" s="199"/>
      <c r="CF527" s="199"/>
      <c r="CG527" s="182"/>
      <c r="CH527" s="200"/>
      <c r="CI527" s="199"/>
      <c r="CJ527" s="199"/>
      <c r="CK527" s="182"/>
      <c r="CL527" s="200"/>
      <c r="CM527" s="199"/>
      <c r="CN527" s="199"/>
      <c r="CO527" s="182"/>
      <c r="CP527" s="200"/>
      <c r="CQ527" s="199"/>
      <c r="CR527" s="199"/>
      <c r="CS527" s="182"/>
      <c r="CT527" s="200"/>
      <c r="CU527" s="199"/>
      <c r="CV527" s="199"/>
      <c r="CW527" s="182"/>
      <c r="CX527" s="200"/>
      <c r="CY527" s="199"/>
      <c r="CZ527" s="199"/>
      <c r="DA527" s="182"/>
      <c r="DB527" s="200"/>
      <c r="DC527" s="199"/>
      <c r="DD527" s="199"/>
      <c r="DE527" s="182"/>
      <c r="DF527" s="200"/>
      <c r="DG527" s="199"/>
      <c r="DH527" s="199"/>
      <c r="DI527" s="182"/>
      <c r="DJ527" s="200"/>
      <c r="DK527" s="199"/>
      <c r="DL527" s="199"/>
      <c r="DM527" s="182"/>
      <c r="DN527" s="200"/>
      <c r="DO527" s="199"/>
      <c r="DP527" s="199"/>
      <c r="DQ527" s="182"/>
      <c r="DR527" s="200"/>
      <c r="DS527" s="199"/>
      <c r="DT527" s="199"/>
      <c r="DU527" s="182"/>
      <c r="DV527" s="200"/>
      <c r="DW527" s="199"/>
      <c r="DX527" s="199"/>
      <c r="DY527" s="182"/>
      <c r="DZ527" s="200"/>
      <c r="EA527" s="199"/>
      <c r="EB527" s="199"/>
      <c r="EC527" s="182"/>
      <c r="ED527" s="200"/>
      <c r="EE527" s="199"/>
      <c r="EF527" s="199"/>
      <c r="EG527" s="182"/>
      <c r="EH527" s="200"/>
      <c r="EI527" s="199"/>
      <c r="EJ527" s="199"/>
      <c r="EK527" s="182"/>
      <c r="EL527" s="200"/>
      <c r="EM527" s="199"/>
      <c r="EN527" s="199"/>
      <c r="EO527" s="182"/>
      <c r="EP527" s="200"/>
      <c r="EQ527" s="199"/>
      <c r="ER527" s="199"/>
      <c r="ES527" s="182"/>
      <c r="ET527" s="200"/>
      <c r="EU527" s="199"/>
      <c r="EV527" s="199"/>
      <c r="EW527" s="182"/>
      <c r="EX527" s="200"/>
      <c r="EY527" s="199"/>
      <c r="EZ527" s="199"/>
      <c r="FA527" s="182"/>
      <c r="FB527" s="200"/>
      <c r="FC527" s="199"/>
      <c r="FD527" s="199"/>
      <c r="FE527" s="182"/>
      <c r="FF527" s="200"/>
      <c r="FG527" s="199"/>
      <c r="FH527" s="199"/>
      <c r="FI527" s="182"/>
      <c r="FJ527" s="200"/>
      <c r="FK527" s="199"/>
      <c r="FL527" s="199"/>
      <c r="FM527" s="182"/>
      <c r="FN527" s="200"/>
      <c r="FO527" s="199"/>
      <c r="FP527" s="199"/>
      <c r="FQ527" s="182"/>
      <c r="FR527" s="200"/>
      <c r="FS527" s="199"/>
      <c r="FT527" s="199"/>
      <c r="FU527" s="182"/>
      <c r="FV527" s="200"/>
      <c r="FW527" s="199"/>
      <c r="FX527" s="199"/>
      <c r="FY527" s="182"/>
      <c r="FZ527" s="200"/>
      <c r="GA527" s="199"/>
      <c r="GB527" s="199"/>
      <c r="GC527" s="182"/>
      <c r="GD527" s="200"/>
      <c r="GE527" s="199"/>
      <c r="GF527" s="199"/>
      <c r="GG527" s="182"/>
      <c r="GH527" s="200"/>
      <c r="GI527" s="199"/>
      <c r="GJ527" s="199"/>
      <c r="GK527" s="182"/>
      <c r="GL527" s="200"/>
      <c r="GM527" s="199"/>
      <c r="GN527" s="199"/>
      <c r="GO527" s="182"/>
      <c r="GP527" s="200"/>
      <c r="GQ527" s="199"/>
      <c r="GR527" s="199"/>
      <c r="GS527" s="182"/>
      <c r="GT527" s="200"/>
      <c r="GU527" s="199"/>
      <c r="GV527" s="199"/>
      <c r="GW527" s="182"/>
      <c r="GX527" s="200"/>
      <c r="GY527" s="199"/>
      <c r="GZ527" s="199"/>
      <c r="HA527" s="182"/>
      <c r="HB527" s="200"/>
      <c r="HC527" s="199"/>
      <c r="HD527" s="199"/>
      <c r="HE527" s="182"/>
      <c r="HF527" s="200"/>
      <c r="HG527" s="199"/>
      <c r="HH527" s="199"/>
      <c r="HI527" s="182"/>
      <c r="HJ527" s="200"/>
      <c r="HK527" s="199"/>
      <c r="HL527" s="199"/>
      <c r="HM527" s="182"/>
      <c r="HN527" s="200"/>
      <c r="HO527" s="199"/>
      <c r="HP527" s="199"/>
      <c r="HQ527" s="182"/>
      <c r="HR527" s="200"/>
      <c r="HS527" s="199"/>
      <c r="HT527" s="199"/>
      <c r="HU527" s="182"/>
      <c r="HV527" s="200"/>
      <c r="HW527" s="199"/>
      <c r="HX527" s="199"/>
      <c r="HY527" s="182"/>
      <c r="HZ527" s="200"/>
      <c r="IA527" s="199"/>
      <c r="IB527" s="199"/>
      <c r="IC527" s="182"/>
      <c r="ID527" s="200"/>
      <c r="IE527" s="199"/>
      <c r="IF527" s="199"/>
      <c r="IG527" s="182"/>
      <c r="IH527" s="200"/>
      <c r="II527" s="199"/>
      <c r="IJ527" s="199"/>
      <c r="IK527" s="182"/>
      <c r="IL527" s="200"/>
      <c r="IM527" s="199"/>
      <c r="IN527" s="199"/>
      <c r="IO527" s="182"/>
      <c r="IP527" s="200"/>
      <c r="IQ527" s="199"/>
      <c r="IR527" s="199"/>
      <c r="IS527" s="182"/>
    </row>
    <row r="528" spans="1:253" ht="15" x14ac:dyDescent="0.2">
      <c r="A528" s="711" t="s">
        <v>280</v>
      </c>
      <c r="B528" s="713">
        <v>196</v>
      </c>
      <c r="C528" s="713" t="s">
        <v>44</v>
      </c>
      <c r="D528" s="659">
        <v>320</v>
      </c>
      <c r="E528" s="649">
        <v>0</v>
      </c>
      <c r="F528" s="650">
        <v>0</v>
      </c>
      <c r="G528" s="651">
        <v>2</v>
      </c>
      <c r="H528" s="652">
        <v>8</v>
      </c>
      <c r="I528" s="653">
        <f>D528*H528</f>
        <v>2560</v>
      </c>
      <c r="J528" s="650">
        <f>F528+I528</f>
        <v>2560</v>
      </c>
      <c r="K528" s="199"/>
      <c r="L528" s="199"/>
      <c r="M528" s="182"/>
      <c r="N528" s="200"/>
      <c r="O528" s="199"/>
      <c r="P528" s="199"/>
      <c r="Q528" s="182"/>
      <c r="R528" s="200"/>
      <c r="S528" s="199"/>
      <c r="T528" s="199"/>
      <c r="U528" s="182"/>
      <c r="V528" s="200"/>
      <c r="W528" s="199"/>
      <c r="X528" s="199"/>
      <c r="Y528" s="182"/>
      <c r="Z528" s="200"/>
      <c r="AA528" s="199"/>
      <c r="AB528" s="199"/>
      <c r="AC528" s="182"/>
      <c r="AD528" s="200"/>
      <c r="AE528" s="199"/>
      <c r="AF528" s="199"/>
      <c r="AG528" s="182"/>
      <c r="AH528" s="200"/>
      <c r="AI528" s="199"/>
      <c r="AJ528" s="199"/>
      <c r="AK528" s="182"/>
      <c r="AL528" s="200"/>
      <c r="AM528" s="199"/>
      <c r="AN528" s="199"/>
      <c r="AO528" s="182"/>
      <c r="AP528" s="200"/>
      <c r="AQ528" s="199"/>
      <c r="AR528" s="199"/>
      <c r="AS528" s="182"/>
      <c r="AT528" s="200"/>
      <c r="AU528" s="199"/>
      <c r="AV528" s="199"/>
      <c r="AW528" s="182"/>
      <c r="AX528" s="200"/>
      <c r="AY528" s="199"/>
      <c r="AZ528" s="199"/>
      <c r="BA528" s="182"/>
      <c r="BB528" s="200"/>
      <c r="BC528" s="199"/>
      <c r="BD528" s="199"/>
      <c r="BE528" s="182"/>
      <c r="BF528" s="200"/>
      <c r="BG528" s="199"/>
      <c r="BH528" s="199"/>
      <c r="BI528" s="182"/>
      <c r="BJ528" s="200"/>
      <c r="BK528" s="199"/>
      <c r="BL528" s="199"/>
      <c r="BM528" s="182"/>
      <c r="BN528" s="200"/>
      <c r="BO528" s="199"/>
      <c r="BP528" s="199"/>
      <c r="BQ528" s="182"/>
      <c r="BR528" s="200"/>
      <c r="BS528" s="199"/>
      <c r="BT528" s="199"/>
      <c r="BU528" s="182"/>
      <c r="BV528" s="200"/>
      <c r="BW528" s="199"/>
      <c r="BX528" s="199"/>
      <c r="BY528" s="182"/>
      <c r="BZ528" s="200"/>
      <c r="CA528" s="199"/>
      <c r="CB528" s="199"/>
      <c r="CC528" s="182"/>
      <c r="CD528" s="200"/>
      <c r="CE528" s="199"/>
      <c r="CF528" s="199"/>
      <c r="CG528" s="182"/>
      <c r="CH528" s="200"/>
      <c r="CI528" s="199"/>
      <c r="CJ528" s="199"/>
      <c r="CK528" s="182"/>
      <c r="CL528" s="200"/>
      <c r="CM528" s="199"/>
      <c r="CN528" s="199"/>
      <c r="CO528" s="182"/>
      <c r="CP528" s="200"/>
      <c r="CQ528" s="199"/>
      <c r="CR528" s="199"/>
      <c r="CS528" s="182"/>
      <c r="CT528" s="200"/>
      <c r="CU528" s="199"/>
      <c r="CV528" s="199"/>
      <c r="CW528" s="182"/>
      <c r="CX528" s="200"/>
      <c r="CY528" s="199"/>
      <c r="CZ528" s="199"/>
      <c r="DA528" s="182"/>
      <c r="DB528" s="200"/>
      <c r="DC528" s="199"/>
      <c r="DD528" s="199"/>
      <c r="DE528" s="182"/>
      <c r="DF528" s="200"/>
      <c r="DG528" s="199"/>
      <c r="DH528" s="199"/>
      <c r="DI528" s="182"/>
      <c r="DJ528" s="200"/>
      <c r="DK528" s="199"/>
      <c r="DL528" s="199"/>
      <c r="DM528" s="182"/>
      <c r="DN528" s="200"/>
      <c r="DO528" s="199"/>
      <c r="DP528" s="199"/>
      <c r="DQ528" s="182"/>
      <c r="DR528" s="200"/>
      <c r="DS528" s="199"/>
      <c r="DT528" s="199"/>
      <c r="DU528" s="182"/>
      <c r="DV528" s="200"/>
      <c r="DW528" s="199"/>
      <c r="DX528" s="199"/>
      <c r="DY528" s="182"/>
      <c r="DZ528" s="200"/>
      <c r="EA528" s="199"/>
      <c r="EB528" s="199"/>
      <c r="EC528" s="182"/>
      <c r="ED528" s="200"/>
      <c r="EE528" s="199"/>
      <c r="EF528" s="199"/>
      <c r="EG528" s="182"/>
      <c r="EH528" s="200"/>
      <c r="EI528" s="199"/>
      <c r="EJ528" s="199"/>
      <c r="EK528" s="182"/>
      <c r="EL528" s="200"/>
      <c r="EM528" s="199"/>
      <c r="EN528" s="199"/>
      <c r="EO528" s="182"/>
      <c r="EP528" s="200"/>
      <c r="EQ528" s="199"/>
      <c r="ER528" s="199"/>
      <c r="ES528" s="182"/>
      <c r="ET528" s="200"/>
      <c r="EU528" s="199"/>
      <c r="EV528" s="199"/>
      <c r="EW528" s="182"/>
      <c r="EX528" s="200"/>
      <c r="EY528" s="199"/>
      <c r="EZ528" s="199"/>
      <c r="FA528" s="182"/>
      <c r="FB528" s="200"/>
      <c r="FC528" s="199"/>
      <c r="FD528" s="199"/>
      <c r="FE528" s="182"/>
      <c r="FF528" s="200"/>
      <c r="FG528" s="199"/>
      <c r="FH528" s="199"/>
      <c r="FI528" s="182"/>
      <c r="FJ528" s="200"/>
      <c r="FK528" s="199"/>
      <c r="FL528" s="199"/>
      <c r="FM528" s="182"/>
      <c r="FN528" s="200"/>
      <c r="FO528" s="199"/>
      <c r="FP528" s="199"/>
      <c r="FQ528" s="182"/>
      <c r="FR528" s="200"/>
      <c r="FS528" s="199"/>
      <c r="FT528" s="199"/>
      <c r="FU528" s="182"/>
      <c r="FV528" s="200"/>
      <c r="FW528" s="199"/>
      <c r="FX528" s="199"/>
      <c r="FY528" s="182"/>
      <c r="FZ528" s="200"/>
      <c r="GA528" s="199"/>
      <c r="GB528" s="199"/>
      <c r="GC528" s="182"/>
      <c r="GD528" s="200"/>
      <c r="GE528" s="199"/>
      <c r="GF528" s="199"/>
      <c r="GG528" s="182"/>
      <c r="GH528" s="200"/>
      <c r="GI528" s="199"/>
      <c r="GJ528" s="199"/>
      <c r="GK528" s="182"/>
      <c r="GL528" s="200"/>
      <c r="GM528" s="199"/>
      <c r="GN528" s="199"/>
      <c r="GO528" s="182"/>
      <c r="GP528" s="200"/>
      <c r="GQ528" s="199"/>
      <c r="GR528" s="199"/>
      <c r="GS528" s="182"/>
      <c r="GT528" s="200"/>
      <c r="GU528" s="199"/>
      <c r="GV528" s="199"/>
      <c r="GW528" s="182"/>
      <c r="GX528" s="200"/>
      <c r="GY528" s="199"/>
      <c r="GZ528" s="199"/>
      <c r="HA528" s="182"/>
      <c r="HB528" s="200"/>
      <c r="HC528" s="199"/>
      <c r="HD528" s="199"/>
      <c r="HE528" s="182"/>
      <c r="HF528" s="200"/>
      <c r="HG528" s="199"/>
      <c r="HH528" s="199"/>
      <c r="HI528" s="182"/>
      <c r="HJ528" s="200"/>
      <c r="HK528" s="199"/>
      <c r="HL528" s="199"/>
      <c r="HM528" s="182"/>
      <c r="HN528" s="200"/>
      <c r="HO528" s="199"/>
      <c r="HP528" s="199"/>
      <c r="HQ528" s="182"/>
      <c r="HR528" s="200"/>
      <c r="HS528" s="199"/>
      <c r="HT528" s="199"/>
      <c r="HU528" s="182"/>
      <c r="HV528" s="200"/>
      <c r="HW528" s="199"/>
      <c r="HX528" s="199"/>
      <c r="HY528" s="182"/>
      <c r="HZ528" s="200"/>
      <c r="IA528" s="199"/>
      <c r="IB528" s="199"/>
      <c r="IC528" s="182"/>
      <c r="ID528" s="200"/>
      <c r="IE528" s="199"/>
      <c r="IF528" s="199"/>
      <c r="IG528" s="182"/>
      <c r="IH528" s="200"/>
      <c r="II528" s="199"/>
      <c r="IJ528" s="199"/>
      <c r="IK528" s="182"/>
      <c r="IL528" s="200"/>
      <c r="IM528" s="199"/>
      <c r="IN528" s="199"/>
      <c r="IO528" s="182"/>
      <c r="IP528" s="200"/>
      <c r="IQ528" s="199"/>
      <c r="IR528" s="199"/>
      <c r="IS528" s="182"/>
    </row>
    <row r="529" spans="1:253" ht="15" x14ac:dyDescent="0.2">
      <c r="A529" s="939" t="str">
        <f>+RRI!D14</f>
        <v>5.1.3 Suscripción de al menos dos (2) convenios interinstitucionales se concretan o se les brinda el seguimiento debido.</v>
      </c>
      <c r="B529" s="940"/>
      <c r="C529" s="940"/>
      <c r="D529" s="718"/>
      <c r="E529" s="665"/>
      <c r="F529" s="666"/>
      <c r="G529" s="667"/>
      <c r="H529" s="668"/>
      <c r="I529" s="669">
        <f>SUM(I530:I535)</f>
        <v>26520</v>
      </c>
      <c r="J529" s="666">
        <f>I529</f>
        <v>26520</v>
      </c>
      <c r="K529" s="199"/>
      <c r="L529" s="199"/>
      <c r="M529" s="182"/>
      <c r="N529" s="200"/>
      <c r="O529" s="199"/>
      <c r="P529" s="199"/>
      <c r="Q529" s="182"/>
      <c r="R529" s="200"/>
      <c r="S529" s="199"/>
      <c r="T529" s="199"/>
      <c r="U529" s="182"/>
      <c r="V529" s="200"/>
      <c r="W529" s="199"/>
      <c r="X529" s="199"/>
      <c r="Y529" s="182"/>
      <c r="Z529" s="200"/>
      <c r="AA529" s="199"/>
      <c r="AB529" s="199"/>
      <c r="AC529" s="182"/>
      <c r="AD529" s="200"/>
      <c r="AE529" s="199"/>
      <c r="AF529" s="199"/>
      <c r="AG529" s="182"/>
      <c r="AH529" s="200"/>
      <c r="AI529" s="199"/>
      <c r="AJ529" s="199"/>
      <c r="AK529" s="182"/>
      <c r="AL529" s="200"/>
      <c r="AM529" s="199"/>
      <c r="AN529" s="199"/>
      <c r="AO529" s="182"/>
      <c r="AP529" s="200"/>
      <c r="AQ529" s="199"/>
      <c r="AR529" s="199"/>
      <c r="AS529" s="182"/>
      <c r="AT529" s="200"/>
      <c r="AU529" s="199"/>
      <c r="AV529" s="199"/>
      <c r="AW529" s="182"/>
      <c r="AX529" s="200"/>
      <c r="AY529" s="199"/>
      <c r="AZ529" s="199"/>
      <c r="BA529" s="182"/>
      <c r="BB529" s="200"/>
      <c r="BC529" s="199"/>
      <c r="BD529" s="199"/>
      <c r="BE529" s="182"/>
      <c r="BF529" s="200"/>
      <c r="BG529" s="199"/>
      <c r="BH529" s="199"/>
      <c r="BI529" s="182"/>
      <c r="BJ529" s="200"/>
      <c r="BK529" s="199"/>
      <c r="BL529" s="199"/>
      <c r="BM529" s="182"/>
      <c r="BN529" s="200"/>
      <c r="BO529" s="199"/>
      <c r="BP529" s="199"/>
      <c r="BQ529" s="182"/>
      <c r="BR529" s="200"/>
      <c r="BS529" s="199"/>
      <c r="BT529" s="199"/>
      <c r="BU529" s="182"/>
      <c r="BV529" s="200"/>
      <c r="BW529" s="199"/>
      <c r="BX529" s="199"/>
      <c r="BY529" s="182"/>
      <c r="BZ529" s="200"/>
      <c r="CA529" s="199"/>
      <c r="CB529" s="199"/>
      <c r="CC529" s="182"/>
      <c r="CD529" s="200"/>
      <c r="CE529" s="199"/>
      <c r="CF529" s="199"/>
      <c r="CG529" s="182"/>
      <c r="CH529" s="200"/>
      <c r="CI529" s="199"/>
      <c r="CJ529" s="199"/>
      <c r="CK529" s="182"/>
      <c r="CL529" s="200"/>
      <c r="CM529" s="199"/>
      <c r="CN529" s="199"/>
      <c r="CO529" s="182"/>
      <c r="CP529" s="200"/>
      <c r="CQ529" s="199"/>
      <c r="CR529" s="199"/>
      <c r="CS529" s="182"/>
      <c r="CT529" s="200"/>
      <c r="CU529" s="199"/>
      <c r="CV529" s="199"/>
      <c r="CW529" s="182"/>
      <c r="CX529" s="200"/>
      <c r="CY529" s="199"/>
      <c r="CZ529" s="199"/>
      <c r="DA529" s="182"/>
      <c r="DB529" s="200"/>
      <c r="DC529" s="199"/>
      <c r="DD529" s="199"/>
      <c r="DE529" s="182"/>
      <c r="DF529" s="200"/>
      <c r="DG529" s="199"/>
      <c r="DH529" s="199"/>
      <c r="DI529" s="182"/>
      <c r="DJ529" s="200"/>
      <c r="DK529" s="199"/>
      <c r="DL529" s="199"/>
      <c r="DM529" s="182"/>
      <c r="DN529" s="200"/>
      <c r="DO529" s="199"/>
      <c r="DP529" s="199"/>
      <c r="DQ529" s="182"/>
      <c r="DR529" s="200"/>
      <c r="DS529" s="199"/>
      <c r="DT529" s="199"/>
      <c r="DU529" s="182"/>
      <c r="DV529" s="200"/>
      <c r="DW529" s="199"/>
      <c r="DX529" s="199"/>
      <c r="DY529" s="182"/>
      <c r="DZ529" s="200"/>
      <c r="EA529" s="199"/>
      <c r="EB529" s="199"/>
      <c r="EC529" s="182"/>
      <c r="ED529" s="200"/>
      <c r="EE529" s="199"/>
      <c r="EF529" s="199"/>
      <c r="EG529" s="182"/>
      <c r="EH529" s="200"/>
      <c r="EI529" s="199"/>
      <c r="EJ529" s="199"/>
      <c r="EK529" s="182"/>
      <c r="EL529" s="200"/>
      <c r="EM529" s="199"/>
      <c r="EN529" s="199"/>
      <c r="EO529" s="182"/>
      <c r="EP529" s="200"/>
      <c r="EQ529" s="199"/>
      <c r="ER529" s="199"/>
      <c r="ES529" s="182"/>
      <c r="ET529" s="200"/>
      <c r="EU529" s="199"/>
      <c r="EV529" s="199"/>
      <c r="EW529" s="182"/>
      <c r="EX529" s="200"/>
      <c r="EY529" s="199"/>
      <c r="EZ529" s="199"/>
      <c r="FA529" s="182"/>
      <c r="FB529" s="200"/>
      <c r="FC529" s="199"/>
      <c r="FD529" s="199"/>
      <c r="FE529" s="182"/>
      <c r="FF529" s="200"/>
      <c r="FG529" s="199"/>
      <c r="FH529" s="199"/>
      <c r="FI529" s="182"/>
      <c r="FJ529" s="200"/>
      <c r="FK529" s="199"/>
      <c r="FL529" s="199"/>
      <c r="FM529" s="182"/>
      <c r="FN529" s="200"/>
      <c r="FO529" s="199"/>
      <c r="FP529" s="199"/>
      <c r="FQ529" s="182"/>
      <c r="FR529" s="200"/>
      <c r="FS529" s="199"/>
      <c r="FT529" s="199"/>
      <c r="FU529" s="182"/>
      <c r="FV529" s="200"/>
      <c r="FW529" s="199"/>
      <c r="FX529" s="199"/>
      <c r="FY529" s="182"/>
      <c r="FZ529" s="200"/>
      <c r="GA529" s="199"/>
      <c r="GB529" s="199"/>
      <c r="GC529" s="182"/>
      <c r="GD529" s="200"/>
      <c r="GE529" s="199"/>
      <c r="GF529" s="199"/>
      <c r="GG529" s="182"/>
      <c r="GH529" s="200"/>
      <c r="GI529" s="199"/>
      <c r="GJ529" s="199"/>
      <c r="GK529" s="182"/>
      <c r="GL529" s="200"/>
      <c r="GM529" s="199"/>
      <c r="GN529" s="199"/>
      <c r="GO529" s="182"/>
      <c r="GP529" s="200"/>
      <c r="GQ529" s="199"/>
      <c r="GR529" s="199"/>
      <c r="GS529" s="182"/>
      <c r="GT529" s="200"/>
      <c r="GU529" s="199"/>
      <c r="GV529" s="199"/>
      <c r="GW529" s="182"/>
      <c r="GX529" s="200"/>
      <c r="GY529" s="199"/>
      <c r="GZ529" s="199"/>
      <c r="HA529" s="182"/>
      <c r="HB529" s="200"/>
      <c r="HC529" s="199"/>
      <c r="HD529" s="199"/>
      <c r="HE529" s="182"/>
      <c r="HF529" s="200"/>
      <c r="HG529" s="199"/>
      <c r="HH529" s="199"/>
      <c r="HI529" s="182"/>
      <c r="HJ529" s="200"/>
      <c r="HK529" s="199"/>
      <c r="HL529" s="199"/>
      <c r="HM529" s="182"/>
      <c r="HN529" s="200"/>
      <c r="HO529" s="199"/>
      <c r="HP529" s="199"/>
      <c r="HQ529" s="182"/>
      <c r="HR529" s="200"/>
      <c r="HS529" s="199"/>
      <c r="HT529" s="199"/>
      <c r="HU529" s="182"/>
      <c r="HV529" s="200"/>
      <c r="HW529" s="199"/>
      <c r="HX529" s="199"/>
      <c r="HY529" s="182"/>
      <c r="HZ529" s="200"/>
      <c r="IA529" s="199"/>
      <c r="IB529" s="199"/>
      <c r="IC529" s="182"/>
      <c r="ID529" s="200"/>
      <c r="IE529" s="199"/>
      <c r="IF529" s="199"/>
      <c r="IG529" s="182"/>
      <c r="IH529" s="200"/>
      <c r="II529" s="199"/>
      <c r="IJ529" s="199"/>
      <c r="IK529" s="182"/>
      <c r="IL529" s="200"/>
      <c r="IM529" s="199"/>
      <c r="IN529" s="199"/>
      <c r="IO529" s="182"/>
      <c r="IP529" s="200"/>
      <c r="IQ529" s="199"/>
      <c r="IR529" s="199"/>
      <c r="IS529" s="182"/>
    </row>
    <row r="530" spans="1:253" ht="15" x14ac:dyDescent="0.2">
      <c r="A530" s="717" t="s">
        <v>34</v>
      </c>
      <c r="B530" s="713">
        <v>11</v>
      </c>
      <c r="C530" s="713" t="s">
        <v>128</v>
      </c>
      <c r="D530" s="659">
        <v>715</v>
      </c>
      <c r="E530" s="660">
        <v>0</v>
      </c>
      <c r="F530" s="661">
        <v>0</v>
      </c>
      <c r="G530" s="662">
        <v>2</v>
      </c>
      <c r="H530" s="663">
        <v>15</v>
      </c>
      <c r="I530" s="664">
        <f>D530*H530</f>
        <v>10725</v>
      </c>
      <c r="J530" s="661">
        <f>I530</f>
        <v>10725</v>
      </c>
      <c r="K530" s="199"/>
      <c r="L530" s="199"/>
      <c r="M530" s="182"/>
      <c r="N530" s="200"/>
      <c r="O530" s="199"/>
      <c r="P530" s="199"/>
      <c r="Q530" s="182"/>
      <c r="R530" s="200"/>
      <c r="S530" s="199"/>
      <c r="T530" s="199"/>
      <c r="U530" s="182"/>
      <c r="V530" s="200"/>
      <c r="W530" s="199"/>
      <c r="X530" s="199"/>
      <c r="Y530" s="182"/>
      <c r="Z530" s="200"/>
      <c r="AA530" s="199"/>
      <c r="AB530" s="199"/>
      <c r="AC530" s="182"/>
      <c r="AD530" s="200"/>
      <c r="AE530" s="199"/>
      <c r="AF530" s="199"/>
      <c r="AG530" s="182"/>
      <c r="AH530" s="200"/>
      <c r="AI530" s="199"/>
      <c r="AJ530" s="199"/>
      <c r="AK530" s="182"/>
      <c r="AL530" s="200"/>
      <c r="AM530" s="199"/>
      <c r="AN530" s="199"/>
      <c r="AO530" s="182"/>
      <c r="AP530" s="200"/>
      <c r="AQ530" s="199"/>
      <c r="AR530" s="199"/>
      <c r="AS530" s="182"/>
      <c r="AT530" s="200"/>
      <c r="AU530" s="199"/>
      <c r="AV530" s="199"/>
      <c r="AW530" s="182"/>
      <c r="AX530" s="200"/>
      <c r="AY530" s="199"/>
      <c r="AZ530" s="199"/>
      <c r="BA530" s="182"/>
      <c r="BB530" s="200"/>
      <c r="BC530" s="199"/>
      <c r="BD530" s="199"/>
      <c r="BE530" s="182"/>
      <c r="BF530" s="200"/>
      <c r="BG530" s="199"/>
      <c r="BH530" s="199"/>
      <c r="BI530" s="182"/>
      <c r="BJ530" s="200"/>
      <c r="BK530" s="199"/>
      <c r="BL530" s="199"/>
      <c r="BM530" s="182"/>
      <c r="BN530" s="200"/>
      <c r="BO530" s="199"/>
      <c r="BP530" s="199"/>
      <c r="BQ530" s="182"/>
      <c r="BR530" s="200"/>
      <c r="BS530" s="199"/>
      <c r="BT530" s="199"/>
      <c r="BU530" s="182"/>
      <c r="BV530" s="200"/>
      <c r="BW530" s="199"/>
      <c r="BX530" s="199"/>
      <c r="BY530" s="182"/>
      <c r="BZ530" s="200"/>
      <c r="CA530" s="199"/>
      <c r="CB530" s="199"/>
      <c r="CC530" s="182"/>
      <c r="CD530" s="200"/>
      <c r="CE530" s="199"/>
      <c r="CF530" s="199"/>
      <c r="CG530" s="182"/>
      <c r="CH530" s="200"/>
      <c r="CI530" s="199"/>
      <c r="CJ530" s="199"/>
      <c r="CK530" s="182"/>
      <c r="CL530" s="200"/>
      <c r="CM530" s="199"/>
      <c r="CN530" s="199"/>
      <c r="CO530" s="182"/>
      <c r="CP530" s="200"/>
      <c r="CQ530" s="199"/>
      <c r="CR530" s="199"/>
      <c r="CS530" s="182"/>
      <c r="CT530" s="200"/>
      <c r="CU530" s="199"/>
      <c r="CV530" s="199"/>
      <c r="CW530" s="182"/>
      <c r="CX530" s="200"/>
      <c r="CY530" s="199"/>
      <c r="CZ530" s="199"/>
      <c r="DA530" s="182"/>
      <c r="DB530" s="200"/>
      <c r="DC530" s="199"/>
      <c r="DD530" s="199"/>
      <c r="DE530" s="182"/>
      <c r="DF530" s="200"/>
      <c r="DG530" s="199"/>
      <c r="DH530" s="199"/>
      <c r="DI530" s="182"/>
      <c r="DJ530" s="200"/>
      <c r="DK530" s="199"/>
      <c r="DL530" s="199"/>
      <c r="DM530" s="182"/>
      <c r="DN530" s="200"/>
      <c r="DO530" s="199"/>
      <c r="DP530" s="199"/>
      <c r="DQ530" s="182"/>
      <c r="DR530" s="200"/>
      <c r="DS530" s="199"/>
      <c r="DT530" s="199"/>
      <c r="DU530" s="182"/>
      <c r="DV530" s="200"/>
      <c r="DW530" s="199"/>
      <c r="DX530" s="199"/>
      <c r="DY530" s="182"/>
      <c r="DZ530" s="200"/>
      <c r="EA530" s="199"/>
      <c r="EB530" s="199"/>
      <c r="EC530" s="182"/>
      <c r="ED530" s="200"/>
      <c r="EE530" s="199"/>
      <c r="EF530" s="199"/>
      <c r="EG530" s="182"/>
      <c r="EH530" s="200"/>
      <c r="EI530" s="199"/>
      <c r="EJ530" s="199"/>
      <c r="EK530" s="182"/>
      <c r="EL530" s="200"/>
      <c r="EM530" s="199"/>
      <c r="EN530" s="199"/>
      <c r="EO530" s="182"/>
      <c r="EP530" s="200"/>
      <c r="EQ530" s="199"/>
      <c r="ER530" s="199"/>
      <c r="ES530" s="182"/>
      <c r="ET530" s="200"/>
      <c r="EU530" s="199"/>
      <c r="EV530" s="199"/>
      <c r="EW530" s="182"/>
      <c r="EX530" s="200"/>
      <c r="EY530" s="199"/>
      <c r="EZ530" s="199"/>
      <c r="FA530" s="182"/>
      <c r="FB530" s="200"/>
      <c r="FC530" s="199"/>
      <c r="FD530" s="199"/>
      <c r="FE530" s="182"/>
      <c r="FF530" s="200"/>
      <c r="FG530" s="199"/>
      <c r="FH530" s="199"/>
      <c r="FI530" s="182"/>
      <c r="FJ530" s="200"/>
      <c r="FK530" s="199"/>
      <c r="FL530" s="199"/>
      <c r="FM530" s="182"/>
      <c r="FN530" s="200"/>
      <c r="FO530" s="199"/>
      <c r="FP530" s="199"/>
      <c r="FQ530" s="182"/>
      <c r="FR530" s="200"/>
      <c r="FS530" s="199"/>
      <c r="FT530" s="199"/>
      <c r="FU530" s="182"/>
      <c r="FV530" s="200"/>
      <c r="FW530" s="199"/>
      <c r="FX530" s="199"/>
      <c r="FY530" s="182"/>
      <c r="FZ530" s="200"/>
      <c r="GA530" s="199"/>
      <c r="GB530" s="199"/>
      <c r="GC530" s="182"/>
      <c r="GD530" s="200"/>
      <c r="GE530" s="199"/>
      <c r="GF530" s="199"/>
      <c r="GG530" s="182"/>
      <c r="GH530" s="200"/>
      <c r="GI530" s="199"/>
      <c r="GJ530" s="199"/>
      <c r="GK530" s="182"/>
      <c r="GL530" s="200"/>
      <c r="GM530" s="199"/>
      <c r="GN530" s="199"/>
      <c r="GO530" s="182"/>
      <c r="GP530" s="200"/>
      <c r="GQ530" s="199"/>
      <c r="GR530" s="199"/>
      <c r="GS530" s="182"/>
      <c r="GT530" s="200"/>
      <c r="GU530" s="199"/>
      <c r="GV530" s="199"/>
      <c r="GW530" s="182"/>
      <c r="GX530" s="200"/>
      <c r="GY530" s="199"/>
      <c r="GZ530" s="199"/>
      <c r="HA530" s="182"/>
      <c r="HB530" s="200"/>
      <c r="HC530" s="199"/>
      <c r="HD530" s="199"/>
      <c r="HE530" s="182"/>
      <c r="HF530" s="200"/>
      <c r="HG530" s="199"/>
      <c r="HH530" s="199"/>
      <c r="HI530" s="182"/>
      <c r="HJ530" s="200"/>
      <c r="HK530" s="199"/>
      <c r="HL530" s="199"/>
      <c r="HM530" s="182"/>
      <c r="HN530" s="200"/>
      <c r="HO530" s="199"/>
      <c r="HP530" s="199"/>
      <c r="HQ530" s="182"/>
      <c r="HR530" s="200"/>
      <c r="HS530" s="199"/>
      <c r="HT530" s="199"/>
      <c r="HU530" s="182"/>
      <c r="HV530" s="200"/>
      <c r="HW530" s="199"/>
      <c r="HX530" s="199"/>
      <c r="HY530" s="182"/>
      <c r="HZ530" s="200"/>
      <c r="IA530" s="199"/>
      <c r="IB530" s="199"/>
      <c r="IC530" s="182"/>
      <c r="ID530" s="200"/>
      <c r="IE530" s="199"/>
      <c r="IF530" s="199"/>
      <c r="IG530" s="182"/>
      <c r="IH530" s="200"/>
      <c r="II530" s="199"/>
      <c r="IJ530" s="199"/>
      <c r="IK530" s="182"/>
      <c r="IL530" s="200"/>
      <c r="IM530" s="199"/>
      <c r="IN530" s="199"/>
      <c r="IO530" s="182"/>
      <c r="IP530" s="200"/>
      <c r="IQ530" s="199"/>
      <c r="IR530" s="199"/>
      <c r="IS530" s="182"/>
    </row>
    <row r="531" spans="1:253" ht="15" x14ac:dyDescent="0.2">
      <c r="A531" s="717" t="s">
        <v>164</v>
      </c>
      <c r="B531" s="713">
        <v>11</v>
      </c>
      <c r="C531" s="713" t="s">
        <v>128</v>
      </c>
      <c r="D531" s="659">
        <v>557</v>
      </c>
      <c r="E531" s="660">
        <v>0</v>
      </c>
      <c r="F531" s="661">
        <v>0</v>
      </c>
      <c r="G531" s="662">
        <v>2</v>
      </c>
      <c r="H531" s="663">
        <v>15</v>
      </c>
      <c r="I531" s="664">
        <f t="shared" ref="I531:I535" si="149">D531*H531</f>
        <v>8355</v>
      </c>
      <c r="J531" s="661">
        <f t="shared" ref="J531:J535" si="150">I531</f>
        <v>8355</v>
      </c>
      <c r="K531" s="199"/>
      <c r="L531" s="199"/>
      <c r="M531" s="182"/>
      <c r="N531" s="200"/>
      <c r="O531" s="199"/>
      <c r="P531" s="199"/>
      <c r="Q531" s="182"/>
      <c r="R531" s="200"/>
      <c r="S531" s="199"/>
      <c r="T531" s="199"/>
      <c r="U531" s="182"/>
      <c r="V531" s="200"/>
      <c r="W531" s="199"/>
      <c r="X531" s="199"/>
      <c r="Y531" s="182"/>
      <c r="Z531" s="200"/>
      <c r="AA531" s="199"/>
      <c r="AB531" s="199"/>
      <c r="AC531" s="182"/>
      <c r="AD531" s="200"/>
      <c r="AE531" s="199"/>
      <c r="AF531" s="199"/>
      <c r="AG531" s="182"/>
      <c r="AH531" s="200"/>
      <c r="AI531" s="199"/>
      <c r="AJ531" s="199"/>
      <c r="AK531" s="182"/>
      <c r="AL531" s="200"/>
      <c r="AM531" s="199"/>
      <c r="AN531" s="199"/>
      <c r="AO531" s="182"/>
      <c r="AP531" s="200"/>
      <c r="AQ531" s="199"/>
      <c r="AR531" s="199"/>
      <c r="AS531" s="182"/>
      <c r="AT531" s="200"/>
      <c r="AU531" s="199"/>
      <c r="AV531" s="199"/>
      <c r="AW531" s="182"/>
      <c r="AX531" s="200"/>
      <c r="AY531" s="199"/>
      <c r="AZ531" s="199"/>
      <c r="BA531" s="182"/>
      <c r="BB531" s="200"/>
      <c r="BC531" s="199"/>
      <c r="BD531" s="199"/>
      <c r="BE531" s="182"/>
      <c r="BF531" s="200"/>
      <c r="BG531" s="199"/>
      <c r="BH531" s="199"/>
      <c r="BI531" s="182"/>
      <c r="BJ531" s="200"/>
      <c r="BK531" s="199"/>
      <c r="BL531" s="199"/>
      <c r="BM531" s="182"/>
      <c r="BN531" s="200"/>
      <c r="BO531" s="199"/>
      <c r="BP531" s="199"/>
      <c r="BQ531" s="182"/>
      <c r="BR531" s="200"/>
      <c r="BS531" s="199"/>
      <c r="BT531" s="199"/>
      <c r="BU531" s="182"/>
      <c r="BV531" s="200"/>
      <c r="BW531" s="199"/>
      <c r="BX531" s="199"/>
      <c r="BY531" s="182"/>
      <c r="BZ531" s="200"/>
      <c r="CA531" s="199"/>
      <c r="CB531" s="199"/>
      <c r="CC531" s="182"/>
      <c r="CD531" s="200"/>
      <c r="CE531" s="199"/>
      <c r="CF531" s="199"/>
      <c r="CG531" s="182"/>
      <c r="CH531" s="200"/>
      <c r="CI531" s="199"/>
      <c r="CJ531" s="199"/>
      <c r="CK531" s="182"/>
      <c r="CL531" s="200"/>
      <c r="CM531" s="199"/>
      <c r="CN531" s="199"/>
      <c r="CO531" s="182"/>
      <c r="CP531" s="200"/>
      <c r="CQ531" s="199"/>
      <c r="CR531" s="199"/>
      <c r="CS531" s="182"/>
      <c r="CT531" s="200"/>
      <c r="CU531" s="199"/>
      <c r="CV531" s="199"/>
      <c r="CW531" s="182"/>
      <c r="CX531" s="200"/>
      <c r="CY531" s="199"/>
      <c r="CZ531" s="199"/>
      <c r="DA531" s="182"/>
      <c r="DB531" s="200"/>
      <c r="DC531" s="199"/>
      <c r="DD531" s="199"/>
      <c r="DE531" s="182"/>
      <c r="DF531" s="200"/>
      <c r="DG531" s="199"/>
      <c r="DH531" s="199"/>
      <c r="DI531" s="182"/>
      <c r="DJ531" s="200"/>
      <c r="DK531" s="199"/>
      <c r="DL531" s="199"/>
      <c r="DM531" s="182"/>
      <c r="DN531" s="200"/>
      <c r="DO531" s="199"/>
      <c r="DP531" s="199"/>
      <c r="DQ531" s="182"/>
      <c r="DR531" s="200"/>
      <c r="DS531" s="199"/>
      <c r="DT531" s="199"/>
      <c r="DU531" s="182"/>
      <c r="DV531" s="200"/>
      <c r="DW531" s="199"/>
      <c r="DX531" s="199"/>
      <c r="DY531" s="182"/>
      <c r="DZ531" s="200"/>
      <c r="EA531" s="199"/>
      <c r="EB531" s="199"/>
      <c r="EC531" s="182"/>
      <c r="ED531" s="200"/>
      <c r="EE531" s="199"/>
      <c r="EF531" s="199"/>
      <c r="EG531" s="182"/>
      <c r="EH531" s="200"/>
      <c r="EI531" s="199"/>
      <c r="EJ531" s="199"/>
      <c r="EK531" s="182"/>
      <c r="EL531" s="200"/>
      <c r="EM531" s="199"/>
      <c r="EN531" s="199"/>
      <c r="EO531" s="182"/>
      <c r="EP531" s="200"/>
      <c r="EQ531" s="199"/>
      <c r="ER531" s="199"/>
      <c r="ES531" s="182"/>
      <c r="ET531" s="200"/>
      <c r="EU531" s="199"/>
      <c r="EV531" s="199"/>
      <c r="EW531" s="182"/>
      <c r="EX531" s="200"/>
      <c r="EY531" s="199"/>
      <c r="EZ531" s="199"/>
      <c r="FA531" s="182"/>
      <c r="FB531" s="200"/>
      <c r="FC531" s="199"/>
      <c r="FD531" s="199"/>
      <c r="FE531" s="182"/>
      <c r="FF531" s="200"/>
      <c r="FG531" s="199"/>
      <c r="FH531" s="199"/>
      <c r="FI531" s="182"/>
      <c r="FJ531" s="200"/>
      <c r="FK531" s="199"/>
      <c r="FL531" s="199"/>
      <c r="FM531" s="182"/>
      <c r="FN531" s="200"/>
      <c r="FO531" s="199"/>
      <c r="FP531" s="199"/>
      <c r="FQ531" s="182"/>
      <c r="FR531" s="200"/>
      <c r="FS531" s="199"/>
      <c r="FT531" s="199"/>
      <c r="FU531" s="182"/>
      <c r="FV531" s="200"/>
      <c r="FW531" s="199"/>
      <c r="FX531" s="199"/>
      <c r="FY531" s="182"/>
      <c r="FZ531" s="200"/>
      <c r="GA531" s="199"/>
      <c r="GB531" s="199"/>
      <c r="GC531" s="182"/>
      <c r="GD531" s="200"/>
      <c r="GE531" s="199"/>
      <c r="GF531" s="199"/>
      <c r="GG531" s="182"/>
      <c r="GH531" s="200"/>
      <c r="GI531" s="199"/>
      <c r="GJ531" s="199"/>
      <c r="GK531" s="182"/>
      <c r="GL531" s="200"/>
      <c r="GM531" s="199"/>
      <c r="GN531" s="199"/>
      <c r="GO531" s="182"/>
      <c r="GP531" s="200"/>
      <c r="GQ531" s="199"/>
      <c r="GR531" s="199"/>
      <c r="GS531" s="182"/>
      <c r="GT531" s="200"/>
      <c r="GU531" s="199"/>
      <c r="GV531" s="199"/>
      <c r="GW531" s="182"/>
      <c r="GX531" s="200"/>
      <c r="GY531" s="199"/>
      <c r="GZ531" s="199"/>
      <c r="HA531" s="182"/>
      <c r="HB531" s="200"/>
      <c r="HC531" s="199"/>
      <c r="HD531" s="199"/>
      <c r="HE531" s="182"/>
      <c r="HF531" s="200"/>
      <c r="HG531" s="199"/>
      <c r="HH531" s="199"/>
      <c r="HI531" s="182"/>
      <c r="HJ531" s="200"/>
      <c r="HK531" s="199"/>
      <c r="HL531" s="199"/>
      <c r="HM531" s="182"/>
      <c r="HN531" s="200"/>
      <c r="HO531" s="199"/>
      <c r="HP531" s="199"/>
      <c r="HQ531" s="182"/>
      <c r="HR531" s="200"/>
      <c r="HS531" s="199"/>
      <c r="HT531" s="199"/>
      <c r="HU531" s="182"/>
      <c r="HV531" s="200"/>
      <c r="HW531" s="199"/>
      <c r="HX531" s="199"/>
      <c r="HY531" s="182"/>
      <c r="HZ531" s="200"/>
      <c r="IA531" s="199"/>
      <c r="IB531" s="199"/>
      <c r="IC531" s="182"/>
      <c r="ID531" s="200"/>
      <c r="IE531" s="199"/>
      <c r="IF531" s="199"/>
      <c r="IG531" s="182"/>
      <c r="IH531" s="200"/>
      <c r="II531" s="199"/>
      <c r="IJ531" s="199"/>
      <c r="IK531" s="182"/>
      <c r="IL531" s="200"/>
      <c r="IM531" s="199"/>
      <c r="IN531" s="199"/>
      <c r="IO531" s="182"/>
      <c r="IP531" s="200"/>
      <c r="IQ531" s="199"/>
      <c r="IR531" s="199"/>
      <c r="IS531" s="182"/>
    </row>
    <row r="532" spans="1:253" ht="15" x14ac:dyDescent="0.2">
      <c r="A532" s="717" t="s">
        <v>203</v>
      </c>
      <c r="B532" s="713">
        <v>211</v>
      </c>
      <c r="C532" s="713" t="s">
        <v>28</v>
      </c>
      <c r="D532" s="659">
        <v>40</v>
      </c>
      <c r="E532" s="660">
        <v>0</v>
      </c>
      <c r="F532" s="661">
        <v>0</v>
      </c>
      <c r="G532" s="662">
        <v>2</v>
      </c>
      <c r="H532" s="663">
        <v>12</v>
      </c>
      <c r="I532" s="664">
        <f t="shared" si="149"/>
        <v>480</v>
      </c>
      <c r="J532" s="661">
        <f t="shared" si="150"/>
        <v>480</v>
      </c>
      <c r="K532" s="199"/>
      <c r="L532" s="199"/>
      <c r="M532" s="182"/>
      <c r="N532" s="200"/>
      <c r="O532" s="199"/>
      <c r="P532" s="199"/>
      <c r="Q532" s="182"/>
      <c r="R532" s="200"/>
      <c r="S532" s="199"/>
      <c r="T532" s="199"/>
      <c r="U532" s="182"/>
      <c r="V532" s="200"/>
      <c r="W532" s="199"/>
      <c r="X532" s="199"/>
      <c r="Y532" s="182"/>
      <c r="Z532" s="200"/>
      <c r="AA532" s="199"/>
      <c r="AB532" s="199"/>
      <c r="AC532" s="182"/>
      <c r="AD532" s="200"/>
      <c r="AE532" s="199"/>
      <c r="AF532" s="199"/>
      <c r="AG532" s="182"/>
      <c r="AH532" s="200"/>
      <c r="AI532" s="199"/>
      <c r="AJ532" s="199"/>
      <c r="AK532" s="182"/>
      <c r="AL532" s="200"/>
      <c r="AM532" s="199"/>
      <c r="AN532" s="199"/>
      <c r="AO532" s="182"/>
      <c r="AP532" s="200"/>
      <c r="AQ532" s="199"/>
      <c r="AR532" s="199"/>
      <c r="AS532" s="182"/>
      <c r="AT532" s="200"/>
      <c r="AU532" s="199"/>
      <c r="AV532" s="199"/>
      <c r="AW532" s="182"/>
      <c r="AX532" s="200"/>
      <c r="AY532" s="199"/>
      <c r="AZ532" s="199"/>
      <c r="BA532" s="182"/>
      <c r="BB532" s="200"/>
      <c r="BC532" s="199"/>
      <c r="BD532" s="199"/>
      <c r="BE532" s="182"/>
      <c r="BF532" s="200"/>
      <c r="BG532" s="199"/>
      <c r="BH532" s="199"/>
      <c r="BI532" s="182"/>
      <c r="BJ532" s="200"/>
      <c r="BK532" s="199"/>
      <c r="BL532" s="199"/>
      <c r="BM532" s="182"/>
      <c r="BN532" s="200"/>
      <c r="BO532" s="199"/>
      <c r="BP532" s="199"/>
      <c r="BQ532" s="182"/>
      <c r="BR532" s="200"/>
      <c r="BS532" s="199"/>
      <c r="BT532" s="199"/>
      <c r="BU532" s="182"/>
      <c r="BV532" s="200"/>
      <c r="BW532" s="199"/>
      <c r="BX532" s="199"/>
      <c r="BY532" s="182"/>
      <c r="BZ532" s="200"/>
      <c r="CA532" s="199"/>
      <c r="CB532" s="199"/>
      <c r="CC532" s="182"/>
      <c r="CD532" s="200"/>
      <c r="CE532" s="199"/>
      <c r="CF532" s="199"/>
      <c r="CG532" s="182"/>
      <c r="CH532" s="200"/>
      <c r="CI532" s="199"/>
      <c r="CJ532" s="199"/>
      <c r="CK532" s="182"/>
      <c r="CL532" s="200"/>
      <c r="CM532" s="199"/>
      <c r="CN532" s="199"/>
      <c r="CO532" s="182"/>
      <c r="CP532" s="200"/>
      <c r="CQ532" s="199"/>
      <c r="CR532" s="199"/>
      <c r="CS532" s="182"/>
      <c r="CT532" s="200"/>
      <c r="CU532" s="199"/>
      <c r="CV532" s="199"/>
      <c r="CW532" s="182"/>
      <c r="CX532" s="200"/>
      <c r="CY532" s="199"/>
      <c r="CZ532" s="199"/>
      <c r="DA532" s="182"/>
      <c r="DB532" s="200"/>
      <c r="DC532" s="199"/>
      <c r="DD532" s="199"/>
      <c r="DE532" s="182"/>
      <c r="DF532" s="200"/>
      <c r="DG532" s="199"/>
      <c r="DH532" s="199"/>
      <c r="DI532" s="182"/>
      <c r="DJ532" s="200"/>
      <c r="DK532" s="199"/>
      <c r="DL532" s="199"/>
      <c r="DM532" s="182"/>
      <c r="DN532" s="200"/>
      <c r="DO532" s="199"/>
      <c r="DP532" s="199"/>
      <c r="DQ532" s="182"/>
      <c r="DR532" s="200"/>
      <c r="DS532" s="199"/>
      <c r="DT532" s="199"/>
      <c r="DU532" s="182"/>
      <c r="DV532" s="200"/>
      <c r="DW532" s="199"/>
      <c r="DX532" s="199"/>
      <c r="DY532" s="182"/>
      <c r="DZ532" s="200"/>
      <c r="EA532" s="199"/>
      <c r="EB532" s="199"/>
      <c r="EC532" s="182"/>
      <c r="ED532" s="200"/>
      <c r="EE532" s="199"/>
      <c r="EF532" s="199"/>
      <c r="EG532" s="182"/>
      <c r="EH532" s="200"/>
      <c r="EI532" s="199"/>
      <c r="EJ532" s="199"/>
      <c r="EK532" s="182"/>
      <c r="EL532" s="200"/>
      <c r="EM532" s="199"/>
      <c r="EN532" s="199"/>
      <c r="EO532" s="182"/>
      <c r="EP532" s="200"/>
      <c r="EQ532" s="199"/>
      <c r="ER532" s="199"/>
      <c r="ES532" s="182"/>
      <c r="ET532" s="200"/>
      <c r="EU532" s="199"/>
      <c r="EV532" s="199"/>
      <c r="EW532" s="182"/>
      <c r="EX532" s="200"/>
      <c r="EY532" s="199"/>
      <c r="EZ532" s="199"/>
      <c r="FA532" s="182"/>
      <c r="FB532" s="200"/>
      <c r="FC532" s="199"/>
      <c r="FD532" s="199"/>
      <c r="FE532" s="182"/>
      <c r="FF532" s="200"/>
      <c r="FG532" s="199"/>
      <c r="FH532" s="199"/>
      <c r="FI532" s="182"/>
      <c r="FJ532" s="200"/>
      <c r="FK532" s="199"/>
      <c r="FL532" s="199"/>
      <c r="FM532" s="182"/>
      <c r="FN532" s="200"/>
      <c r="FO532" s="199"/>
      <c r="FP532" s="199"/>
      <c r="FQ532" s="182"/>
      <c r="FR532" s="200"/>
      <c r="FS532" s="199"/>
      <c r="FT532" s="199"/>
      <c r="FU532" s="182"/>
      <c r="FV532" s="200"/>
      <c r="FW532" s="199"/>
      <c r="FX532" s="199"/>
      <c r="FY532" s="182"/>
      <c r="FZ532" s="200"/>
      <c r="GA532" s="199"/>
      <c r="GB532" s="199"/>
      <c r="GC532" s="182"/>
      <c r="GD532" s="200"/>
      <c r="GE532" s="199"/>
      <c r="GF532" s="199"/>
      <c r="GG532" s="182"/>
      <c r="GH532" s="200"/>
      <c r="GI532" s="199"/>
      <c r="GJ532" s="199"/>
      <c r="GK532" s="182"/>
      <c r="GL532" s="200"/>
      <c r="GM532" s="199"/>
      <c r="GN532" s="199"/>
      <c r="GO532" s="182"/>
      <c r="GP532" s="200"/>
      <c r="GQ532" s="199"/>
      <c r="GR532" s="199"/>
      <c r="GS532" s="182"/>
      <c r="GT532" s="200"/>
      <c r="GU532" s="199"/>
      <c r="GV532" s="199"/>
      <c r="GW532" s="182"/>
      <c r="GX532" s="200"/>
      <c r="GY532" s="199"/>
      <c r="GZ532" s="199"/>
      <c r="HA532" s="182"/>
      <c r="HB532" s="200"/>
      <c r="HC532" s="199"/>
      <c r="HD532" s="199"/>
      <c r="HE532" s="182"/>
      <c r="HF532" s="200"/>
      <c r="HG532" s="199"/>
      <c r="HH532" s="199"/>
      <c r="HI532" s="182"/>
      <c r="HJ532" s="200"/>
      <c r="HK532" s="199"/>
      <c r="HL532" s="199"/>
      <c r="HM532" s="182"/>
      <c r="HN532" s="200"/>
      <c r="HO532" s="199"/>
      <c r="HP532" s="199"/>
      <c r="HQ532" s="182"/>
      <c r="HR532" s="200"/>
      <c r="HS532" s="199"/>
      <c r="HT532" s="199"/>
      <c r="HU532" s="182"/>
      <c r="HV532" s="200"/>
      <c r="HW532" s="199"/>
      <c r="HX532" s="199"/>
      <c r="HY532" s="182"/>
      <c r="HZ532" s="200"/>
      <c r="IA532" s="199"/>
      <c r="IB532" s="199"/>
      <c r="IC532" s="182"/>
      <c r="ID532" s="200"/>
      <c r="IE532" s="199"/>
      <c r="IF532" s="199"/>
      <c r="IG532" s="182"/>
      <c r="IH532" s="200"/>
      <c r="II532" s="199"/>
      <c r="IJ532" s="199"/>
      <c r="IK532" s="182"/>
      <c r="IL532" s="200"/>
      <c r="IM532" s="199"/>
      <c r="IN532" s="199"/>
      <c r="IO532" s="182"/>
      <c r="IP532" s="200"/>
      <c r="IQ532" s="199"/>
      <c r="IR532" s="199"/>
      <c r="IS532" s="182"/>
    </row>
    <row r="533" spans="1:253" ht="15" x14ac:dyDescent="0.2">
      <c r="A533" s="717" t="s">
        <v>121</v>
      </c>
      <c r="B533" s="713">
        <v>262</v>
      </c>
      <c r="C533" s="713" t="s">
        <v>61</v>
      </c>
      <c r="D533" s="659">
        <v>36</v>
      </c>
      <c r="E533" s="660">
        <v>0</v>
      </c>
      <c r="F533" s="661">
        <v>0</v>
      </c>
      <c r="G533" s="662">
        <v>2</v>
      </c>
      <c r="H533" s="663">
        <v>40</v>
      </c>
      <c r="I533" s="664">
        <f t="shared" si="149"/>
        <v>1440</v>
      </c>
      <c r="J533" s="661">
        <f t="shared" si="150"/>
        <v>1440</v>
      </c>
      <c r="K533" s="199"/>
      <c r="L533" s="199"/>
      <c r="M533" s="182"/>
      <c r="N533" s="200"/>
      <c r="O533" s="199"/>
      <c r="P533" s="199"/>
      <c r="Q533" s="182"/>
      <c r="R533" s="200"/>
      <c r="S533" s="199"/>
      <c r="T533" s="199"/>
      <c r="U533" s="182"/>
      <c r="V533" s="200"/>
      <c r="W533" s="199"/>
      <c r="X533" s="199"/>
      <c r="Y533" s="182"/>
      <c r="Z533" s="200"/>
      <c r="AA533" s="199"/>
      <c r="AB533" s="199"/>
      <c r="AC533" s="182"/>
      <c r="AD533" s="200"/>
      <c r="AE533" s="199"/>
      <c r="AF533" s="199"/>
      <c r="AG533" s="182"/>
      <c r="AH533" s="200"/>
      <c r="AI533" s="199"/>
      <c r="AJ533" s="199"/>
      <c r="AK533" s="182"/>
      <c r="AL533" s="200"/>
      <c r="AM533" s="199"/>
      <c r="AN533" s="199"/>
      <c r="AO533" s="182"/>
      <c r="AP533" s="200"/>
      <c r="AQ533" s="199"/>
      <c r="AR533" s="199"/>
      <c r="AS533" s="182"/>
      <c r="AT533" s="200"/>
      <c r="AU533" s="199"/>
      <c r="AV533" s="199"/>
      <c r="AW533" s="182"/>
      <c r="AX533" s="200"/>
      <c r="AY533" s="199"/>
      <c r="AZ533" s="199"/>
      <c r="BA533" s="182"/>
      <c r="BB533" s="200"/>
      <c r="BC533" s="199"/>
      <c r="BD533" s="199"/>
      <c r="BE533" s="182"/>
      <c r="BF533" s="200"/>
      <c r="BG533" s="199"/>
      <c r="BH533" s="199"/>
      <c r="BI533" s="182"/>
      <c r="BJ533" s="200"/>
      <c r="BK533" s="199"/>
      <c r="BL533" s="199"/>
      <c r="BM533" s="182"/>
      <c r="BN533" s="200"/>
      <c r="BO533" s="199"/>
      <c r="BP533" s="199"/>
      <c r="BQ533" s="182"/>
      <c r="BR533" s="200"/>
      <c r="BS533" s="199"/>
      <c r="BT533" s="199"/>
      <c r="BU533" s="182"/>
      <c r="BV533" s="200"/>
      <c r="BW533" s="199"/>
      <c r="BX533" s="199"/>
      <c r="BY533" s="182"/>
      <c r="BZ533" s="200"/>
      <c r="CA533" s="199"/>
      <c r="CB533" s="199"/>
      <c r="CC533" s="182"/>
      <c r="CD533" s="200"/>
      <c r="CE533" s="199"/>
      <c r="CF533" s="199"/>
      <c r="CG533" s="182"/>
      <c r="CH533" s="200"/>
      <c r="CI533" s="199"/>
      <c r="CJ533" s="199"/>
      <c r="CK533" s="182"/>
      <c r="CL533" s="200"/>
      <c r="CM533" s="199"/>
      <c r="CN533" s="199"/>
      <c r="CO533" s="182"/>
      <c r="CP533" s="200"/>
      <c r="CQ533" s="199"/>
      <c r="CR533" s="199"/>
      <c r="CS533" s="182"/>
      <c r="CT533" s="200"/>
      <c r="CU533" s="199"/>
      <c r="CV533" s="199"/>
      <c r="CW533" s="182"/>
      <c r="CX533" s="200"/>
      <c r="CY533" s="199"/>
      <c r="CZ533" s="199"/>
      <c r="DA533" s="182"/>
      <c r="DB533" s="200"/>
      <c r="DC533" s="199"/>
      <c r="DD533" s="199"/>
      <c r="DE533" s="182"/>
      <c r="DF533" s="200"/>
      <c r="DG533" s="199"/>
      <c r="DH533" s="199"/>
      <c r="DI533" s="182"/>
      <c r="DJ533" s="200"/>
      <c r="DK533" s="199"/>
      <c r="DL533" s="199"/>
      <c r="DM533" s="182"/>
      <c r="DN533" s="200"/>
      <c r="DO533" s="199"/>
      <c r="DP533" s="199"/>
      <c r="DQ533" s="182"/>
      <c r="DR533" s="200"/>
      <c r="DS533" s="199"/>
      <c r="DT533" s="199"/>
      <c r="DU533" s="182"/>
      <c r="DV533" s="200"/>
      <c r="DW533" s="199"/>
      <c r="DX533" s="199"/>
      <c r="DY533" s="182"/>
      <c r="DZ533" s="200"/>
      <c r="EA533" s="199"/>
      <c r="EB533" s="199"/>
      <c r="EC533" s="182"/>
      <c r="ED533" s="200"/>
      <c r="EE533" s="199"/>
      <c r="EF533" s="199"/>
      <c r="EG533" s="182"/>
      <c r="EH533" s="200"/>
      <c r="EI533" s="199"/>
      <c r="EJ533" s="199"/>
      <c r="EK533" s="182"/>
      <c r="EL533" s="200"/>
      <c r="EM533" s="199"/>
      <c r="EN533" s="199"/>
      <c r="EO533" s="182"/>
      <c r="EP533" s="200"/>
      <c r="EQ533" s="199"/>
      <c r="ER533" s="199"/>
      <c r="ES533" s="182"/>
      <c r="ET533" s="200"/>
      <c r="EU533" s="199"/>
      <c r="EV533" s="199"/>
      <c r="EW533" s="182"/>
      <c r="EX533" s="200"/>
      <c r="EY533" s="199"/>
      <c r="EZ533" s="199"/>
      <c r="FA533" s="182"/>
      <c r="FB533" s="200"/>
      <c r="FC533" s="199"/>
      <c r="FD533" s="199"/>
      <c r="FE533" s="182"/>
      <c r="FF533" s="200"/>
      <c r="FG533" s="199"/>
      <c r="FH533" s="199"/>
      <c r="FI533" s="182"/>
      <c r="FJ533" s="200"/>
      <c r="FK533" s="199"/>
      <c r="FL533" s="199"/>
      <c r="FM533" s="182"/>
      <c r="FN533" s="200"/>
      <c r="FO533" s="199"/>
      <c r="FP533" s="199"/>
      <c r="FQ533" s="182"/>
      <c r="FR533" s="200"/>
      <c r="FS533" s="199"/>
      <c r="FT533" s="199"/>
      <c r="FU533" s="182"/>
      <c r="FV533" s="200"/>
      <c r="FW533" s="199"/>
      <c r="FX533" s="199"/>
      <c r="FY533" s="182"/>
      <c r="FZ533" s="200"/>
      <c r="GA533" s="199"/>
      <c r="GB533" s="199"/>
      <c r="GC533" s="182"/>
      <c r="GD533" s="200"/>
      <c r="GE533" s="199"/>
      <c r="GF533" s="199"/>
      <c r="GG533" s="182"/>
      <c r="GH533" s="200"/>
      <c r="GI533" s="199"/>
      <c r="GJ533" s="199"/>
      <c r="GK533" s="182"/>
      <c r="GL533" s="200"/>
      <c r="GM533" s="199"/>
      <c r="GN533" s="199"/>
      <c r="GO533" s="182"/>
      <c r="GP533" s="200"/>
      <c r="GQ533" s="199"/>
      <c r="GR533" s="199"/>
      <c r="GS533" s="182"/>
      <c r="GT533" s="200"/>
      <c r="GU533" s="199"/>
      <c r="GV533" s="199"/>
      <c r="GW533" s="182"/>
      <c r="GX533" s="200"/>
      <c r="GY533" s="199"/>
      <c r="GZ533" s="199"/>
      <c r="HA533" s="182"/>
      <c r="HB533" s="200"/>
      <c r="HC533" s="199"/>
      <c r="HD533" s="199"/>
      <c r="HE533" s="182"/>
      <c r="HF533" s="200"/>
      <c r="HG533" s="199"/>
      <c r="HH533" s="199"/>
      <c r="HI533" s="182"/>
      <c r="HJ533" s="200"/>
      <c r="HK533" s="199"/>
      <c r="HL533" s="199"/>
      <c r="HM533" s="182"/>
      <c r="HN533" s="200"/>
      <c r="HO533" s="199"/>
      <c r="HP533" s="199"/>
      <c r="HQ533" s="182"/>
      <c r="HR533" s="200"/>
      <c r="HS533" s="199"/>
      <c r="HT533" s="199"/>
      <c r="HU533" s="182"/>
      <c r="HV533" s="200"/>
      <c r="HW533" s="199"/>
      <c r="HX533" s="199"/>
      <c r="HY533" s="182"/>
      <c r="HZ533" s="200"/>
      <c r="IA533" s="199"/>
      <c r="IB533" s="199"/>
      <c r="IC533" s="182"/>
      <c r="ID533" s="200"/>
      <c r="IE533" s="199"/>
      <c r="IF533" s="199"/>
      <c r="IG533" s="182"/>
      <c r="IH533" s="200"/>
      <c r="II533" s="199"/>
      <c r="IJ533" s="199"/>
      <c r="IK533" s="182"/>
      <c r="IL533" s="200"/>
      <c r="IM533" s="199"/>
      <c r="IN533" s="199"/>
      <c r="IO533" s="182"/>
      <c r="IP533" s="200"/>
      <c r="IQ533" s="199"/>
      <c r="IR533" s="199"/>
      <c r="IS533" s="182"/>
    </row>
    <row r="534" spans="1:253" ht="15" x14ac:dyDescent="0.2">
      <c r="A534" s="717" t="s">
        <v>205</v>
      </c>
      <c r="B534" s="713">
        <v>141</v>
      </c>
      <c r="C534" s="713" t="s">
        <v>28</v>
      </c>
      <c r="D534" s="659">
        <v>1800</v>
      </c>
      <c r="E534" s="660">
        <v>0</v>
      </c>
      <c r="F534" s="661">
        <v>0</v>
      </c>
      <c r="G534" s="662">
        <v>2</v>
      </c>
      <c r="H534" s="663">
        <v>2</v>
      </c>
      <c r="I534" s="664">
        <f t="shared" si="149"/>
        <v>3600</v>
      </c>
      <c r="J534" s="661">
        <f t="shared" si="150"/>
        <v>3600</v>
      </c>
      <c r="K534" s="199"/>
      <c r="L534" s="199"/>
      <c r="M534" s="182"/>
      <c r="N534" s="200"/>
      <c r="O534" s="199"/>
      <c r="P534" s="199"/>
      <c r="Q534" s="182"/>
      <c r="R534" s="200"/>
      <c r="S534" s="199"/>
      <c r="T534" s="199"/>
      <c r="U534" s="182"/>
      <c r="V534" s="200"/>
      <c r="W534" s="199"/>
      <c r="X534" s="199"/>
      <c r="Y534" s="182"/>
      <c r="Z534" s="200"/>
      <c r="AA534" s="199"/>
      <c r="AB534" s="199"/>
      <c r="AC534" s="182"/>
      <c r="AD534" s="200"/>
      <c r="AE534" s="199"/>
      <c r="AF534" s="199"/>
      <c r="AG534" s="182"/>
      <c r="AH534" s="200"/>
      <c r="AI534" s="199"/>
      <c r="AJ534" s="199"/>
      <c r="AK534" s="182"/>
      <c r="AL534" s="200"/>
      <c r="AM534" s="199"/>
      <c r="AN534" s="199"/>
      <c r="AO534" s="182"/>
      <c r="AP534" s="200"/>
      <c r="AQ534" s="199"/>
      <c r="AR534" s="199"/>
      <c r="AS534" s="182"/>
      <c r="AT534" s="200"/>
      <c r="AU534" s="199"/>
      <c r="AV534" s="199"/>
      <c r="AW534" s="182"/>
      <c r="AX534" s="200"/>
      <c r="AY534" s="199"/>
      <c r="AZ534" s="199"/>
      <c r="BA534" s="182"/>
      <c r="BB534" s="200"/>
      <c r="BC534" s="199"/>
      <c r="BD534" s="199"/>
      <c r="BE534" s="182"/>
      <c r="BF534" s="200"/>
      <c r="BG534" s="199"/>
      <c r="BH534" s="199"/>
      <c r="BI534" s="182"/>
      <c r="BJ534" s="200"/>
      <c r="BK534" s="199"/>
      <c r="BL534" s="199"/>
      <c r="BM534" s="182"/>
      <c r="BN534" s="200"/>
      <c r="BO534" s="199"/>
      <c r="BP534" s="199"/>
      <c r="BQ534" s="182"/>
      <c r="BR534" s="200"/>
      <c r="BS534" s="199"/>
      <c r="BT534" s="199"/>
      <c r="BU534" s="182"/>
      <c r="BV534" s="200"/>
      <c r="BW534" s="199"/>
      <c r="BX534" s="199"/>
      <c r="BY534" s="182"/>
      <c r="BZ534" s="200"/>
      <c r="CA534" s="199"/>
      <c r="CB534" s="199"/>
      <c r="CC534" s="182"/>
      <c r="CD534" s="200"/>
      <c r="CE534" s="199"/>
      <c r="CF534" s="199"/>
      <c r="CG534" s="182"/>
      <c r="CH534" s="200"/>
      <c r="CI534" s="199"/>
      <c r="CJ534" s="199"/>
      <c r="CK534" s="182"/>
      <c r="CL534" s="200"/>
      <c r="CM534" s="199"/>
      <c r="CN534" s="199"/>
      <c r="CO534" s="182"/>
      <c r="CP534" s="200"/>
      <c r="CQ534" s="199"/>
      <c r="CR534" s="199"/>
      <c r="CS534" s="182"/>
      <c r="CT534" s="200"/>
      <c r="CU534" s="199"/>
      <c r="CV534" s="199"/>
      <c r="CW534" s="182"/>
      <c r="CX534" s="200"/>
      <c r="CY534" s="199"/>
      <c r="CZ534" s="199"/>
      <c r="DA534" s="182"/>
      <c r="DB534" s="200"/>
      <c r="DC534" s="199"/>
      <c r="DD534" s="199"/>
      <c r="DE534" s="182"/>
      <c r="DF534" s="200"/>
      <c r="DG534" s="199"/>
      <c r="DH534" s="199"/>
      <c r="DI534" s="182"/>
      <c r="DJ534" s="200"/>
      <c r="DK534" s="199"/>
      <c r="DL534" s="199"/>
      <c r="DM534" s="182"/>
      <c r="DN534" s="200"/>
      <c r="DO534" s="199"/>
      <c r="DP534" s="199"/>
      <c r="DQ534" s="182"/>
      <c r="DR534" s="200"/>
      <c r="DS534" s="199"/>
      <c r="DT534" s="199"/>
      <c r="DU534" s="182"/>
      <c r="DV534" s="200"/>
      <c r="DW534" s="199"/>
      <c r="DX534" s="199"/>
      <c r="DY534" s="182"/>
      <c r="DZ534" s="200"/>
      <c r="EA534" s="199"/>
      <c r="EB534" s="199"/>
      <c r="EC534" s="182"/>
      <c r="ED534" s="200"/>
      <c r="EE534" s="199"/>
      <c r="EF534" s="199"/>
      <c r="EG534" s="182"/>
      <c r="EH534" s="200"/>
      <c r="EI534" s="199"/>
      <c r="EJ534" s="199"/>
      <c r="EK534" s="182"/>
      <c r="EL534" s="200"/>
      <c r="EM534" s="199"/>
      <c r="EN534" s="199"/>
      <c r="EO534" s="182"/>
      <c r="EP534" s="200"/>
      <c r="EQ534" s="199"/>
      <c r="ER534" s="199"/>
      <c r="ES534" s="182"/>
      <c r="ET534" s="200"/>
      <c r="EU534" s="199"/>
      <c r="EV534" s="199"/>
      <c r="EW534" s="182"/>
      <c r="EX534" s="200"/>
      <c r="EY534" s="199"/>
      <c r="EZ534" s="199"/>
      <c r="FA534" s="182"/>
      <c r="FB534" s="200"/>
      <c r="FC534" s="199"/>
      <c r="FD534" s="199"/>
      <c r="FE534" s="182"/>
      <c r="FF534" s="200"/>
      <c r="FG534" s="199"/>
      <c r="FH534" s="199"/>
      <c r="FI534" s="182"/>
      <c r="FJ534" s="200"/>
      <c r="FK534" s="199"/>
      <c r="FL534" s="199"/>
      <c r="FM534" s="182"/>
      <c r="FN534" s="200"/>
      <c r="FO534" s="199"/>
      <c r="FP534" s="199"/>
      <c r="FQ534" s="182"/>
      <c r="FR534" s="200"/>
      <c r="FS534" s="199"/>
      <c r="FT534" s="199"/>
      <c r="FU534" s="182"/>
      <c r="FV534" s="200"/>
      <c r="FW534" s="199"/>
      <c r="FX534" s="199"/>
      <c r="FY534" s="182"/>
      <c r="FZ534" s="200"/>
      <c r="GA534" s="199"/>
      <c r="GB534" s="199"/>
      <c r="GC534" s="182"/>
      <c r="GD534" s="200"/>
      <c r="GE534" s="199"/>
      <c r="GF534" s="199"/>
      <c r="GG534" s="182"/>
      <c r="GH534" s="200"/>
      <c r="GI534" s="199"/>
      <c r="GJ534" s="199"/>
      <c r="GK534" s="182"/>
      <c r="GL534" s="200"/>
      <c r="GM534" s="199"/>
      <c r="GN534" s="199"/>
      <c r="GO534" s="182"/>
      <c r="GP534" s="200"/>
      <c r="GQ534" s="199"/>
      <c r="GR534" s="199"/>
      <c r="GS534" s="182"/>
      <c r="GT534" s="200"/>
      <c r="GU534" s="199"/>
      <c r="GV534" s="199"/>
      <c r="GW534" s="182"/>
      <c r="GX534" s="200"/>
      <c r="GY534" s="199"/>
      <c r="GZ534" s="199"/>
      <c r="HA534" s="182"/>
      <c r="HB534" s="200"/>
      <c r="HC534" s="199"/>
      <c r="HD534" s="199"/>
      <c r="HE534" s="182"/>
      <c r="HF534" s="200"/>
      <c r="HG534" s="199"/>
      <c r="HH534" s="199"/>
      <c r="HI534" s="182"/>
      <c r="HJ534" s="200"/>
      <c r="HK534" s="199"/>
      <c r="HL534" s="199"/>
      <c r="HM534" s="182"/>
      <c r="HN534" s="200"/>
      <c r="HO534" s="199"/>
      <c r="HP534" s="199"/>
      <c r="HQ534" s="182"/>
      <c r="HR534" s="200"/>
      <c r="HS534" s="199"/>
      <c r="HT534" s="199"/>
      <c r="HU534" s="182"/>
      <c r="HV534" s="200"/>
      <c r="HW534" s="199"/>
      <c r="HX534" s="199"/>
      <c r="HY534" s="182"/>
      <c r="HZ534" s="200"/>
      <c r="IA534" s="199"/>
      <c r="IB534" s="199"/>
      <c r="IC534" s="182"/>
      <c r="ID534" s="200"/>
      <c r="IE534" s="199"/>
      <c r="IF534" s="199"/>
      <c r="IG534" s="182"/>
      <c r="IH534" s="200"/>
      <c r="II534" s="199"/>
      <c r="IJ534" s="199"/>
      <c r="IK534" s="182"/>
      <c r="IL534" s="200"/>
      <c r="IM534" s="199"/>
      <c r="IN534" s="199"/>
      <c r="IO534" s="182"/>
      <c r="IP534" s="200"/>
      <c r="IQ534" s="199"/>
      <c r="IR534" s="199"/>
      <c r="IS534" s="182"/>
    </row>
    <row r="535" spans="1:253" ht="15" x14ac:dyDescent="0.2">
      <c r="A535" s="717" t="s">
        <v>280</v>
      </c>
      <c r="B535" s="713">
        <v>196</v>
      </c>
      <c r="C535" s="713" t="s">
        <v>28</v>
      </c>
      <c r="D535" s="659">
        <v>320</v>
      </c>
      <c r="E535" s="660">
        <v>0</v>
      </c>
      <c r="F535" s="661">
        <v>0</v>
      </c>
      <c r="G535" s="662">
        <v>2</v>
      </c>
      <c r="H535" s="663">
        <v>6</v>
      </c>
      <c r="I535" s="664">
        <f t="shared" si="149"/>
        <v>1920</v>
      </c>
      <c r="J535" s="661">
        <f t="shared" si="150"/>
        <v>1920</v>
      </c>
      <c r="K535" s="199"/>
      <c r="L535" s="199"/>
      <c r="M535" s="182"/>
      <c r="N535" s="200"/>
      <c r="O535" s="199"/>
      <c r="P535" s="199"/>
      <c r="Q535" s="182"/>
      <c r="R535" s="200"/>
      <c r="S535" s="199"/>
      <c r="T535" s="199"/>
      <c r="U535" s="182"/>
      <c r="V535" s="200"/>
      <c r="W535" s="199"/>
      <c r="X535" s="199"/>
      <c r="Y535" s="182"/>
      <c r="Z535" s="200"/>
      <c r="AA535" s="199"/>
      <c r="AB535" s="199"/>
      <c r="AC535" s="182"/>
      <c r="AD535" s="200"/>
      <c r="AE535" s="199"/>
      <c r="AF535" s="199"/>
      <c r="AG535" s="182"/>
      <c r="AH535" s="200"/>
      <c r="AI535" s="199"/>
      <c r="AJ535" s="199"/>
      <c r="AK535" s="182"/>
      <c r="AL535" s="200"/>
      <c r="AM535" s="199"/>
      <c r="AN535" s="199"/>
      <c r="AO535" s="182"/>
      <c r="AP535" s="200"/>
      <c r="AQ535" s="199"/>
      <c r="AR535" s="199"/>
      <c r="AS535" s="182"/>
      <c r="AT535" s="200"/>
      <c r="AU535" s="199"/>
      <c r="AV535" s="199"/>
      <c r="AW535" s="182"/>
      <c r="AX535" s="200"/>
      <c r="AY535" s="199"/>
      <c r="AZ535" s="199"/>
      <c r="BA535" s="182"/>
      <c r="BB535" s="200"/>
      <c r="BC535" s="199"/>
      <c r="BD535" s="199"/>
      <c r="BE535" s="182"/>
      <c r="BF535" s="200"/>
      <c r="BG535" s="199"/>
      <c r="BH535" s="199"/>
      <c r="BI535" s="182"/>
      <c r="BJ535" s="200"/>
      <c r="BK535" s="199"/>
      <c r="BL535" s="199"/>
      <c r="BM535" s="182"/>
      <c r="BN535" s="200"/>
      <c r="BO535" s="199"/>
      <c r="BP535" s="199"/>
      <c r="BQ535" s="182"/>
      <c r="BR535" s="200"/>
      <c r="BS535" s="199"/>
      <c r="BT535" s="199"/>
      <c r="BU535" s="182"/>
      <c r="BV535" s="200"/>
      <c r="BW535" s="199"/>
      <c r="BX535" s="199"/>
      <c r="BY535" s="182"/>
      <c r="BZ535" s="200"/>
      <c r="CA535" s="199"/>
      <c r="CB535" s="199"/>
      <c r="CC535" s="182"/>
      <c r="CD535" s="200"/>
      <c r="CE535" s="199"/>
      <c r="CF535" s="199"/>
      <c r="CG535" s="182"/>
      <c r="CH535" s="200"/>
      <c r="CI535" s="199"/>
      <c r="CJ535" s="199"/>
      <c r="CK535" s="182"/>
      <c r="CL535" s="200"/>
      <c r="CM535" s="199"/>
      <c r="CN535" s="199"/>
      <c r="CO535" s="182"/>
      <c r="CP535" s="200"/>
      <c r="CQ535" s="199"/>
      <c r="CR535" s="199"/>
      <c r="CS535" s="182"/>
      <c r="CT535" s="200"/>
      <c r="CU535" s="199"/>
      <c r="CV535" s="199"/>
      <c r="CW535" s="182"/>
      <c r="CX535" s="200"/>
      <c r="CY535" s="199"/>
      <c r="CZ535" s="199"/>
      <c r="DA535" s="182"/>
      <c r="DB535" s="200"/>
      <c r="DC535" s="199"/>
      <c r="DD535" s="199"/>
      <c r="DE535" s="182"/>
      <c r="DF535" s="200"/>
      <c r="DG535" s="199"/>
      <c r="DH535" s="199"/>
      <c r="DI535" s="182"/>
      <c r="DJ535" s="200"/>
      <c r="DK535" s="199"/>
      <c r="DL535" s="199"/>
      <c r="DM535" s="182"/>
      <c r="DN535" s="200"/>
      <c r="DO535" s="199"/>
      <c r="DP535" s="199"/>
      <c r="DQ535" s="182"/>
      <c r="DR535" s="200"/>
      <c r="DS535" s="199"/>
      <c r="DT535" s="199"/>
      <c r="DU535" s="182"/>
      <c r="DV535" s="200"/>
      <c r="DW535" s="199"/>
      <c r="DX535" s="199"/>
      <c r="DY535" s="182"/>
      <c r="DZ535" s="200"/>
      <c r="EA535" s="199"/>
      <c r="EB535" s="199"/>
      <c r="EC535" s="182"/>
      <c r="ED535" s="200"/>
      <c r="EE535" s="199"/>
      <c r="EF535" s="199"/>
      <c r="EG535" s="182"/>
      <c r="EH535" s="200"/>
      <c r="EI535" s="199"/>
      <c r="EJ535" s="199"/>
      <c r="EK535" s="182"/>
      <c r="EL535" s="200"/>
      <c r="EM535" s="199"/>
      <c r="EN535" s="199"/>
      <c r="EO535" s="182"/>
      <c r="EP535" s="200"/>
      <c r="EQ535" s="199"/>
      <c r="ER535" s="199"/>
      <c r="ES535" s="182"/>
      <c r="ET535" s="200"/>
      <c r="EU535" s="199"/>
      <c r="EV535" s="199"/>
      <c r="EW535" s="182"/>
      <c r="EX535" s="200"/>
      <c r="EY535" s="199"/>
      <c r="EZ535" s="199"/>
      <c r="FA535" s="182"/>
      <c r="FB535" s="200"/>
      <c r="FC535" s="199"/>
      <c r="FD535" s="199"/>
      <c r="FE535" s="182"/>
      <c r="FF535" s="200"/>
      <c r="FG535" s="199"/>
      <c r="FH535" s="199"/>
      <c r="FI535" s="182"/>
      <c r="FJ535" s="200"/>
      <c r="FK535" s="199"/>
      <c r="FL535" s="199"/>
      <c r="FM535" s="182"/>
      <c r="FN535" s="200"/>
      <c r="FO535" s="199"/>
      <c r="FP535" s="199"/>
      <c r="FQ535" s="182"/>
      <c r="FR535" s="200"/>
      <c r="FS535" s="199"/>
      <c r="FT535" s="199"/>
      <c r="FU535" s="182"/>
      <c r="FV535" s="200"/>
      <c r="FW535" s="199"/>
      <c r="FX535" s="199"/>
      <c r="FY535" s="182"/>
      <c r="FZ535" s="200"/>
      <c r="GA535" s="199"/>
      <c r="GB535" s="199"/>
      <c r="GC535" s="182"/>
      <c r="GD535" s="200"/>
      <c r="GE535" s="199"/>
      <c r="GF535" s="199"/>
      <c r="GG535" s="182"/>
      <c r="GH535" s="200"/>
      <c r="GI535" s="199"/>
      <c r="GJ535" s="199"/>
      <c r="GK535" s="182"/>
      <c r="GL535" s="200"/>
      <c r="GM535" s="199"/>
      <c r="GN535" s="199"/>
      <c r="GO535" s="182"/>
      <c r="GP535" s="200"/>
      <c r="GQ535" s="199"/>
      <c r="GR535" s="199"/>
      <c r="GS535" s="182"/>
      <c r="GT535" s="200"/>
      <c r="GU535" s="199"/>
      <c r="GV535" s="199"/>
      <c r="GW535" s="182"/>
      <c r="GX535" s="200"/>
      <c r="GY535" s="199"/>
      <c r="GZ535" s="199"/>
      <c r="HA535" s="182"/>
      <c r="HB535" s="200"/>
      <c r="HC535" s="199"/>
      <c r="HD535" s="199"/>
      <c r="HE535" s="182"/>
      <c r="HF535" s="200"/>
      <c r="HG535" s="199"/>
      <c r="HH535" s="199"/>
      <c r="HI535" s="182"/>
      <c r="HJ535" s="200"/>
      <c r="HK535" s="199"/>
      <c r="HL535" s="199"/>
      <c r="HM535" s="182"/>
      <c r="HN535" s="200"/>
      <c r="HO535" s="199"/>
      <c r="HP535" s="199"/>
      <c r="HQ535" s="182"/>
      <c r="HR535" s="200"/>
      <c r="HS535" s="199"/>
      <c r="HT535" s="199"/>
      <c r="HU535" s="182"/>
      <c r="HV535" s="200"/>
      <c r="HW535" s="199"/>
      <c r="HX535" s="199"/>
      <c r="HY535" s="182"/>
      <c r="HZ535" s="200"/>
      <c r="IA535" s="199"/>
      <c r="IB535" s="199"/>
      <c r="IC535" s="182"/>
      <c r="ID535" s="200"/>
      <c r="IE535" s="199"/>
      <c r="IF535" s="199"/>
      <c r="IG535" s="182"/>
      <c r="IH535" s="200"/>
      <c r="II535" s="199"/>
      <c r="IJ535" s="199"/>
      <c r="IK535" s="182"/>
      <c r="IL535" s="200"/>
      <c r="IM535" s="199"/>
      <c r="IN535" s="199"/>
      <c r="IO535" s="182"/>
      <c r="IP535" s="200"/>
      <c r="IQ535" s="199"/>
      <c r="IR535" s="199"/>
      <c r="IS535" s="182"/>
    </row>
    <row r="536" spans="1:253" ht="16.5" thickBot="1" x14ac:dyDescent="0.25">
      <c r="A536" s="640" t="s">
        <v>106</v>
      </c>
      <c r="B536" s="640"/>
      <c r="C536" s="640"/>
      <c r="D536" s="641"/>
      <c r="E536" s="642"/>
      <c r="F536" s="643">
        <f>F538+F551</f>
        <v>0</v>
      </c>
      <c r="G536" s="644"/>
      <c r="H536" s="645"/>
      <c r="I536" s="646">
        <f>SUM(I538+I546+I551+I562)</f>
        <v>349894.12</v>
      </c>
      <c r="J536" s="647">
        <f t="shared" si="144"/>
        <v>349894.12</v>
      </c>
      <c r="K536" s="199"/>
      <c r="L536" s="199"/>
      <c r="M536" s="182"/>
      <c r="N536" s="200"/>
      <c r="O536" s="199"/>
      <c r="P536" s="199"/>
      <c r="Q536" s="182"/>
      <c r="R536" s="200"/>
      <c r="S536" s="199"/>
      <c r="T536" s="199"/>
      <c r="U536" s="182"/>
      <c r="V536" s="200"/>
      <c r="W536" s="199"/>
      <c r="X536" s="199"/>
      <c r="Y536" s="182"/>
      <c r="Z536" s="200"/>
      <c r="AA536" s="199"/>
      <c r="AB536" s="199"/>
      <c r="AC536" s="182"/>
      <c r="AD536" s="200"/>
      <c r="AE536" s="199"/>
      <c r="AF536" s="199"/>
      <c r="AG536" s="182"/>
      <c r="AH536" s="200"/>
      <c r="AI536" s="199"/>
      <c r="AJ536" s="199"/>
      <c r="AK536" s="182"/>
      <c r="AL536" s="200"/>
      <c r="AM536" s="199"/>
      <c r="AN536" s="199"/>
      <c r="AO536" s="182"/>
      <c r="AP536" s="200"/>
      <c r="AQ536" s="199"/>
      <c r="AR536" s="199"/>
      <c r="AS536" s="182"/>
      <c r="AT536" s="200"/>
      <c r="AU536" s="199"/>
      <c r="AV536" s="199"/>
      <c r="AW536" s="182"/>
      <c r="AX536" s="200"/>
      <c r="AY536" s="199"/>
      <c r="AZ536" s="199"/>
      <c r="BA536" s="182"/>
      <c r="BB536" s="200"/>
      <c r="BC536" s="199"/>
      <c r="BD536" s="199"/>
      <c r="BE536" s="182"/>
      <c r="BF536" s="200"/>
      <c r="BG536" s="199"/>
      <c r="BH536" s="199"/>
      <c r="BI536" s="182"/>
      <c r="BJ536" s="200"/>
      <c r="BK536" s="199"/>
      <c r="BL536" s="199"/>
      <c r="BM536" s="182"/>
      <c r="BN536" s="200"/>
      <c r="BO536" s="199"/>
      <c r="BP536" s="199"/>
      <c r="BQ536" s="182"/>
      <c r="BR536" s="200"/>
      <c r="BS536" s="199"/>
      <c r="BT536" s="199"/>
      <c r="BU536" s="182"/>
      <c r="BV536" s="200"/>
      <c r="BW536" s="199"/>
      <c r="BX536" s="199"/>
      <c r="BY536" s="182"/>
      <c r="BZ536" s="200"/>
      <c r="CA536" s="199"/>
      <c r="CB536" s="199"/>
      <c r="CC536" s="182"/>
      <c r="CD536" s="200"/>
      <c r="CE536" s="199"/>
      <c r="CF536" s="199"/>
      <c r="CG536" s="182"/>
      <c r="CH536" s="200"/>
      <c r="CI536" s="199"/>
      <c r="CJ536" s="199"/>
      <c r="CK536" s="182"/>
      <c r="CL536" s="200"/>
      <c r="CM536" s="199"/>
      <c r="CN536" s="199"/>
      <c r="CO536" s="182"/>
      <c r="CP536" s="200"/>
      <c r="CQ536" s="199"/>
      <c r="CR536" s="199"/>
      <c r="CS536" s="182"/>
      <c r="CT536" s="200"/>
      <c r="CU536" s="199"/>
      <c r="CV536" s="199"/>
      <c r="CW536" s="182"/>
      <c r="CX536" s="200"/>
      <c r="CY536" s="199"/>
      <c r="CZ536" s="199"/>
      <c r="DA536" s="182"/>
      <c r="DB536" s="200"/>
      <c r="DC536" s="199"/>
      <c r="DD536" s="199"/>
      <c r="DE536" s="182"/>
      <c r="DF536" s="200"/>
      <c r="DG536" s="199"/>
      <c r="DH536" s="199"/>
      <c r="DI536" s="182"/>
      <c r="DJ536" s="200"/>
      <c r="DK536" s="199"/>
      <c r="DL536" s="199"/>
      <c r="DM536" s="182"/>
      <c r="DN536" s="200"/>
      <c r="DO536" s="199"/>
      <c r="DP536" s="199"/>
      <c r="DQ536" s="182"/>
      <c r="DR536" s="200"/>
      <c r="DS536" s="199"/>
      <c r="DT536" s="199"/>
      <c r="DU536" s="182"/>
      <c r="DV536" s="200"/>
      <c r="DW536" s="199"/>
      <c r="DX536" s="199"/>
      <c r="DY536" s="182"/>
      <c r="DZ536" s="200"/>
      <c r="EA536" s="199"/>
      <c r="EB536" s="199"/>
      <c r="EC536" s="182"/>
      <c r="ED536" s="200"/>
      <c r="EE536" s="199"/>
      <c r="EF536" s="199"/>
      <c r="EG536" s="182"/>
      <c r="EH536" s="200"/>
      <c r="EI536" s="199"/>
      <c r="EJ536" s="199"/>
      <c r="EK536" s="182"/>
      <c r="EL536" s="200"/>
      <c r="EM536" s="199"/>
      <c r="EN536" s="199"/>
      <c r="EO536" s="182"/>
      <c r="EP536" s="200"/>
      <c r="EQ536" s="199"/>
      <c r="ER536" s="199"/>
      <c r="ES536" s="182"/>
      <c r="ET536" s="200"/>
      <c r="EU536" s="199"/>
      <c r="EV536" s="199"/>
      <c r="EW536" s="182"/>
      <c r="EX536" s="200"/>
      <c r="EY536" s="199"/>
      <c r="EZ536" s="199"/>
      <c r="FA536" s="182"/>
      <c r="FB536" s="200"/>
      <c r="FC536" s="199"/>
      <c r="FD536" s="199"/>
      <c r="FE536" s="182"/>
      <c r="FF536" s="200"/>
      <c r="FG536" s="199"/>
      <c r="FH536" s="199"/>
      <c r="FI536" s="182"/>
      <c r="FJ536" s="200"/>
      <c r="FK536" s="199"/>
      <c r="FL536" s="199"/>
      <c r="FM536" s="182"/>
      <c r="FN536" s="200"/>
      <c r="FO536" s="199"/>
      <c r="FP536" s="199"/>
      <c r="FQ536" s="182"/>
      <c r="FR536" s="200"/>
      <c r="FS536" s="199"/>
      <c r="FT536" s="199"/>
      <c r="FU536" s="182"/>
      <c r="FV536" s="200"/>
      <c r="FW536" s="199"/>
      <c r="FX536" s="199"/>
      <c r="FY536" s="182"/>
      <c r="FZ536" s="200"/>
      <c r="GA536" s="199"/>
      <c r="GB536" s="199"/>
      <c r="GC536" s="182"/>
      <c r="GD536" s="200"/>
      <c r="GE536" s="199"/>
      <c r="GF536" s="199"/>
      <c r="GG536" s="182"/>
      <c r="GH536" s="200"/>
      <c r="GI536" s="199"/>
      <c r="GJ536" s="199"/>
      <c r="GK536" s="182"/>
      <c r="GL536" s="200"/>
      <c r="GM536" s="199"/>
      <c r="GN536" s="199"/>
      <c r="GO536" s="182"/>
      <c r="GP536" s="200"/>
      <c r="GQ536" s="199"/>
      <c r="GR536" s="199"/>
      <c r="GS536" s="182"/>
      <c r="GT536" s="200"/>
      <c r="GU536" s="199"/>
      <c r="GV536" s="199"/>
      <c r="GW536" s="182"/>
      <c r="GX536" s="200"/>
      <c r="GY536" s="199"/>
      <c r="GZ536" s="199"/>
      <c r="HA536" s="182"/>
      <c r="HB536" s="200"/>
      <c r="HC536" s="199"/>
      <c r="HD536" s="199"/>
      <c r="HE536" s="182"/>
      <c r="HF536" s="200"/>
      <c r="HG536" s="199"/>
      <c r="HH536" s="199"/>
      <c r="HI536" s="182"/>
      <c r="HJ536" s="200"/>
      <c r="HK536" s="199"/>
      <c r="HL536" s="199"/>
      <c r="HM536" s="182"/>
      <c r="HN536" s="200"/>
      <c r="HO536" s="199"/>
      <c r="HP536" s="199"/>
      <c r="HQ536" s="182"/>
      <c r="HR536" s="200"/>
      <c r="HS536" s="199"/>
      <c r="HT536" s="199"/>
      <c r="HU536" s="182"/>
      <c r="HV536" s="200"/>
      <c r="HW536" s="199"/>
      <c r="HX536" s="199"/>
      <c r="HY536" s="182"/>
      <c r="HZ536" s="200"/>
      <c r="IA536" s="199"/>
      <c r="IB536" s="199"/>
      <c r="IC536" s="182"/>
      <c r="ID536" s="200"/>
      <c r="IE536" s="199"/>
      <c r="IF536" s="199"/>
      <c r="IG536" s="182"/>
      <c r="IH536" s="200"/>
      <c r="II536" s="199"/>
      <c r="IJ536" s="199"/>
      <c r="IK536" s="182"/>
      <c r="IL536" s="200"/>
      <c r="IM536" s="199"/>
      <c r="IN536" s="199"/>
      <c r="IO536" s="182"/>
      <c r="IP536" s="200"/>
      <c r="IQ536" s="199"/>
      <c r="IR536" s="199"/>
      <c r="IS536" s="182"/>
    </row>
    <row r="537" spans="1:253" ht="16.5" thickBot="1" x14ac:dyDescent="0.25">
      <c r="A537" s="933" t="s">
        <v>232</v>
      </c>
      <c r="B537" s="934"/>
      <c r="C537" s="934"/>
      <c r="D537" s="422"/>
      <c r="E537" s="452"/>
      <c r="F537" s="380"/>
      <c r="G537" s="475"/>
      <c r="H537" s="578"/>
      <c r="I537" s="528"/>
      <c r="J537" s="498"/>
      <c r="K537" s="199"/>
      <c r="L537" s="199"/>
      <c r="M537" s="182"/>
      <c r="N537" s="200"/>
      <c r="O537" s="199"/>
      <c r="P537" s="199"/>
      <c r="Q537" s="182"/>
      <c r="R537" s="200"/>
      <c r="S537" s="199"/>
      <c r="T537" s="199"/>
      <c r="U537" s="182"/>
      <c r="V537" s="200"/>
      <c r="W537" s="199"/>
      <c r="X537" s="199"/>
      <c r="Y537" s="182"/>
      <c r="Z537" s="200"/>
      <c r="AA537" s="199"/>
      <c r="AB537" s="199"/>
      <c r="AC537" s="182"/>
      <c r="AD537" s="200"/>
      <c r="AE537" s="199"/>
      <c r="AF537" s="199"/>
      <c r="AG537" s="182"/>
      <c r="AH537" s="200"/>
      <c r="AI537" s="199"/>
      <c r="AJ537" s="199"/>
      <c r="AK537" s="182"/>
      <c r="AL537" s="200"/>
      <c r="AM537" s="199"/>
      <c r="AN537" s="199"/>
      <c r="AO537" s="182"/>
      <c r="AP537" s="200"/>
      <c r="AQ537" s="199"/>
      <c r="AR537" s="199"/>
      <c r="AS537" s="182"/>
      <c r="AT537" s="200"/>
      <c r="AU537" s="199"/>
      <c r="AV537" s="199"/>
      <c r="AW537" s="182"/>
      <c r="AX537" s="200"/>
      <c r="AY537" s="199"/>
      <c r="AZ537" s="199"/>
      <c r="BA537" s="182"/>
      <c r="BB537" s="200"/>
      <c r="BC537" s="199"/>
      <c r="BD537" s="199"/>
      <c r="BE537" s="182"/>
      <c r="BF537" s="200"/>
      <c r="BG537" s="199"/>
      <c r="BH537" s="199"/>
      <c r="BI537" s="182"/>
      <c r="BJ537" s="200"/>
      <c r="BK537" s="199"/>
      <c r="BL537" s="199"/>
      <c r="BM537" s="182"/>
      <c r="BN537" s="200"/>
      <c r="BO537" s="199"/>
      <c r="BP537" s="199"/>
      <c r="BQ537" s="182"/>
      <c r="BR537" s="200"/>
      <c r="BS537" s="199"/>
      <c r="BT537" s="199"/>
      <c r="BU537" s="182"/>
      <c r="BV537" s="200"/>
      <c r="BW537" s="199"/>
      <c r="BX537" s="199"/>
      <c r="BY537" s="182"/>
      <c r="BZ537" s="200"/>
      <c r="CA537" s="199"/>
      <c r="CB537" s="199"/>
      <c r="CC537" s="182"/>
      <c r="CD537" s="200"/>
      <c r="CE537" s="199"/>
      <c r="CF537" s="199"/>
      <c r="CG537" s="182"/>
      <c r="CH537" s="200"/>
      <c r="CI537" s="199"/>
      <c r="CJ537" s="199"/>
      <c r="CK537" s="182"/>
      <c r="CL537" s="200"/>
      <c r="CM537" s="199"/>
      <c r="CN537" s="199"/>
      <c r="CO537" s="182"/>
      <c r="CP537" s="200"/>
      <c r="CQ537" s="199"/>
      <c r="CR537" s="199"/>
      <c r="CS537" s="182"/>
      <c r="CT537" s="200"/>
      <c r="CU537" s="199"/>
      <c r="CV537" s="199"/>
      <c r="CW537" s="182"/>
      <c r="CX537" s="200"/>
      <c r="CY537" s="199"/>
      <c r="CZ537" s="199"/>
      <c r="DA537" s="182"/>
      <c r="DB537" s="200"/>
      <c r="DC537" s="199"/>
      <c r="DD537" s="199"/>
      <c r="DE537" s="182"/>
      <c r="DF537" s="200"/>
      <c r="DG537" s="199"/>
      <c r="DH537" s="199"/>
      <c r="DI537" s="182"/>
      <c r="DJ537" s="200"/>
      <c r="DK537" s="199"/>
      <c r="DL537" s="199"/>
      <c r="DM537" s="182"/>
      <c r="DN537" s="200"/>
      <c r="DO537" s="199"/>
      <c r="DP537" s="199"/>
      <c r="DQ537" s="182"/>
      <c r="DR537" s="200"/>
      <c r="DS537" s="199"/>
      <c r="DT537" s="199"/>
      <c r="DU537" s="182"/>
      <c r="DV537" s="200"/>
      <c r="DW537" s="199"/>
      <c r="DX537" s="199"/>
      <c r="DY537" s="182"/>
      <c r="DZ537" s="200"/>
      <c r="EA537" s="199"/>
      <c r="EB537" s="199"/>
      <c r="EC537" s="182"/>
      <c r="ED537" s="200"/>
      <c r="EE537" s="199"/>
      <c r="EF537" s="199"/>
      <c r="EG537" s="182"/>
      <c r="EH537" s="200"/>
      <c r="EI537" s="199"/>
      <c r="EJ537" s="199"/>
      <c r="EK537" s="182"/>
      <c r="EL537" s="200"/>
      <c r="EM537" s="199"/>
      <c r="EN537" s="199"/>
      <c r="EO537" s="182"/>
      <c r="EP537" s="200"/>
      <c r="EQ537" s="199"/>
      <c r="ER537" s="199"/>
      <c r="ES537" s="182"/>
      <c r="ET537" s="200"/>
      <c r="EU537" s="199"/>
      <c r="EV537" s="199"/>
      <c r="EW537" s="182"/>
      <c r="EX537" s="200"/>
      <c r="EY537" s="199"/>
      <c r="EZ537" s="199"/>
      <c r="FA537" s="182"/>
      <c r="FB537" s="200"/>
      <c r="FC537" s="199"/>
      <c r="FD537" s="199"/>
      <c r="FE537" s="182"/>
      <c r="FF537" s="200"/>
      <c r="FG537" s="199"/>
      <c r="FH537" s="199"/>
      <c r="FI537" s="182"/>
      <c r="FJ537" s="200"/>
      <c r="FK537" s="199"/>
      <c r="FL537" s="199"/>
      <c r="FM537" s="182"/>
      <c r="FN537" s="200"/>
      <c r="FO537" s="199"/>
      <c r="FP537" s="199"/>
      <c r="FQ537" s="182"/>
      <c r="FR537" s="200"/>
      <c r="FS537" s="199"/>
      <c r="FT537" s="199"/>
      <c r="FU537" s="182"/>
      <c r="FV537" s="200"/>
      <c r="FW537" s="199"/>
      <c r="FX537" s="199"/>
      <c r="FY537" s="182"/>
      <c r="FZ537" s="200"/>
      <c r="GA537" s="199"/>
      <c r="GB537" s="199"/>
      <c r="GC537" s="182"/>
      <c r="GD537" s="200"/>
      <c r="GE537" s="199"/>
      <c r="GF537" s="199"/>
      <c r="GG537" s="182"/>
      <c r="GH537" s="200"/>
      <c r="GI537" s="199"/>
      <c r="GJ537" s="199"/>
      <c r="GK537" s="182"/>
      <c r="GL537" s="200"/>
      <c r="GM537" s="199"/>
      <c r="GN537" s="199"/>
      <c r="GO537" s="182"/>
      <c r="GP537" s="200"/>
      <c r="GQ537" s="199"/>
      <c r="GR537" s="199"/>
      <c r="GS537" s="182"/>
      <c r="GT537" s="200"/>
      <c r="GU537" s="199"/>
      <c r="GV537" s="199"/>
      <c r="GW537" s="182"/>
      <c r="GX537" s="200"/>
      <c r="GY537" s="199"/>
      <c r="GZ537" s="199"/>
      <c r="HA537" s="182"/>
      <c r="HB537" s="200"/>
      <c r="HC537" s="199"/>
      <c r="HD537" s="199"/>
      <c r="HE537" s="182"/>
      <c r="HF537" s="200"/>
      <c r="HG537" s="199"/>
      <c r="HH537" s="199"/>
      <c r="HI537" s="182"/>
      <c r="HJ537" s="200"/>
      <c r="HK537" s="199"/>
      <c r="HL537" s="199"/>
      <c r="HM537" s="182"/>
      <c r="HN537" s="200"/>
      <c r="HO537" s="199"/>
      <c r="HP537" s="199"/>
      <c r="HQ537" s="182"/>
      <c r="HR537" s="200"/>
      <c r="HS537" s="199"/>
      <c r="HT537" s="199"/>
      <c r="HU537" s="182"/>
      <c r="HV537" s="200"/>
      <c r="HW537" s="199"/>
      <c r="HX537" s="199"/>
      <c r="HY537" s="182"/>
      <c r="HZ537" s="200"/>
      <c r="IA537" s="199"/>
      <c r="IB537" s="199"/>
      <c r="IC537" s="182"/>
      <c r="ID537" s="200"/>
      <c r="IE537" s="199"/>
      <c r="IF537" s="199"/>
      <c r="IG537" s="182"/>
      <c r="IH537" s="200"/>
      <c r="II537" s="199"/>
      <c r="IJ537" s="199"/>
      <c r="IK537" s="182"/>
      <c r="IL537" s="200"/>
      <c r="IM537" s="199"/>
      <c r="IN537" s="199"/>
      <c r="IO537" s="182"/>
      <c r="IP537" s="200"/>
      <c r="IQ537" s="199"/>
      <c r="IR537" s="199"/>
      <c r="IS537" s="182"/>
    </row>
    <row r="538" spans="1:253" ht="16.5" thickBot="1" x14ac:dyDescent="0.3">
      <c r="A538" s="904" t="s">
        <v>251</v>
      </c>
      <c r="B538" s="905"/>
      <c r="C538" s="905"/>
      <c r="D538" s="391"/>
      <c r="E538" s="450"/>
      <c r="F538" s="519">
        <f>SUM(F539:F545)</f>
        <v>0</v>
      </c>
      <c r="G538" s="571"/>
      <c r="H538" s="571"/>
      <c r="I538" s="519">
        <f>SUM(I539:I545)</f>
        <v>38080</v>
      </c>
      <c r="J538" s="519">
        <f t="shared" si="144"/>
        <v>38080</v>
      </c>
      <c r="K538" s="199"/>
      <c r="L538" s="199"/>
      <c r="M538" s="182"/>
      <c r="N538" s="200"/>
      <c r="O538" s="199"/>
      <c r="P538" s="199"/>
      <c r="Q538" s="182"/>
      <c r="R538" s="200"/>
      <c r="S538" s="199"/>
      <c r="T538" s="199"/>
      <c r="U538" s="182"/>
      <c r="V538" s="200"/>
      <c r="W538" s="199"/>
      <c r="X538" s="199"/>
      <c r="Y538" s="182"/>
      <c r="Z538" s="200"/>
      <c r="AA538" s="199"/>
      <c r="AB538" s="199"/>
      <c r="AC538" s="182"/>
      <c r="AD538" s="200"/>
      <c r="AE538" s="199"/>
      <c r="AF538" s="199"/>
      <c r="AG538" s="182"/>
      <c r="AH538" s="200"/>
      <c r="AI538" s="199"/>
      <c r="AJ538" s="199"/>
      <c r="AK538" s="182"/>
      <c r="AL538" s="200"/>
      <c r="AM538" s="199"/>
      <c r="AN538" s="199"/>
      <c r="AO538" s="182"/>
      <c r="AP538" s="200"/>
      <c r="AQ538" s="199"/>
      <c r="AR538" s="199"/>
      <c r="AS538" s="182"/>
      <c r="AT538" s="200"/>
      <c r="AU538" s="199"/>
      <c r="AV538" s="199"/>
      <c r="AW538" s="182"/>
      <c r="AX538" s="200"/>
      <c r="AY538" s="199"/>
      <c r="AZ538" s="199"/>
      <c r="BA538" s="182"/>
      <c r="BB538" s="200"/>
      <c r="BC538" s="199"/>
      <c r="BD538" s="199"/>
      <c r="BE538" s="182"/>
      <c r="BF538" s="200"/>
      <c r="BG538" s="199"/>
      <c r="BH538" s="199"/>
      <c r="BI538" s="182"/>
      <c r="BJ538" s="200"/>
      <c r="BK538" s="199"/>
      <c r="BL538" s="199"/>
      <c r="BM538" s="182"/>
      <c r="BN538" s="200"/>
      <c r="BO538" s="199"/>
      <c r="BP538" s="199"/>
      <c r="BQ538" s="182"/>
      <c r="BR538" s="200"/>
      <c r="BS538" s="199"/>
      <c r="BT538" s="199"/>
      <c r="BU538" s="182"/>
      <c r="BV538" s="200"/>
      <c r="BW538" s="199"/>
      <c r="BX538" s="199"/>
      <c r="BY538" s="182"/>
      <c r="BZ538" s="200"/>
      <c r="CA538" s="199"/>
      <c r="CB538" s="199"/>
      <c r="CC538" s="182"/>
      <c r="CD538" s="200"/>
      <c r="CE538" s="199"/>
      <c r="CF538" s="199"/>
      <c r="CG538" s="182"/>
      <c r="CH538" s="200"/>
      <c r="CI538" s="199"/>
      <c r="CJ538" s="199"/>
      <c r="CK538" s="182"/>
      <c r="CL538" s="200"/>
      <c r="CM538" s="199"/>
      <c r="CN538" s="199"/>
      <c r="CO538" s="182"/>
      <c r="CP538" s="200"/>
      <c r="CQ538" s="199"/>
      <c r="CR538" s="199"/>
      <c r="CS538" s="182"/>
      <c r="CT538" s="200"/>
      <c r="CU538" s="199"/>
      <c r="CV538" s="199"/>
      <c r="CW538" s="182"/>
      <c r="CX538" s="200"/>
      <c r="CY538" s="199"/>
      <c r="CZ538" s="199"/>
      <c r="DA538" s="182"/>
      <c r="DB538" s="200"/>
      <c r="DC538" s="199"/>
      <c r="DD538" s="199"/>
      <c r="DE538" s="182"/>
      <c r="DF538" s="200"/>
      <c r="DG538" s="199"/>
      <c r="DH538" s="199"/>
      <c r="DI538" s="182"/>
      <c r="DJ538" s="200"/>
      <c r="DK538" s="199"/>
      <c r="DL538" s="199"/>
      <c r="DM538" s="182"/>
      <c r="DN538" s="200"/>
      <c r="DO538" s="199"/>
      <c r="DP538" s="199"/>
      <c r="DQ538" s="182"/>
      <c r="DR538" s="200"/>
      <c r="DS538" s="199"/>
      <c r="DT538" s="199"/>
      <c r="DU538" s="182"/>
      <c r="DV538" s="200"/>
      <c r="DW538" s="199"/>
      <c r="DX538" s="199"/>
      <c r="DY538" s="182"/>
      <c r="DZ538" s="200"/>
      <c r="EA538" s="199"/>
      <c r="EB538" s="199"/>
      <c r="EC538" s="182"/>
      <c r="ED538" s="200"/>
      <c r="EE538" s="199"/>
      <c r="EF538" s="199"/>
      <c r="EG538" s="182"/>
      <c r="EH538" s="200"/>
      <c r="EI538" s="199"/>
      <c r="EJ538" s="199"/>
      <c r="EK538" s="182"/>
      <c r="EL538" s="200"/>
      <c r="EM538" s="199"/>
      <c r="EN538" s="199"/>
      <c r="EO538" s="182"/>
      <c r="EP538" s="200"/>
      <c r="EQ538" s="199"/>
      <c r="ER538" s="199"/>
      <c r="ES538" s="182"/>
      <c r="ET538" s="200"/>
      <c r="EU538" s="199"/>
      <c r="EV538" s="199"/>
      <c r="EW538" s="182"/>
      <c r="EX538" s="200"/>
      <c r="EY538" s="199"/>
      <c r="EZ538" s="199"/>
      <c r="FA538" s="182"/>
      <c r="FB538" s="200"/>
      <c r="FC538" s="199"/>
      <c r="FD538" s="199"/>
      <c r="FE538" s="182"/>
      <c r="FF538" s="200"/>
      <c r="FG538" s="199"/>
      <c r="FH538" s="199"/>
      <c r="FI538" s="182"/>
      <c r="FJ538" s="200"/>
      <c r="FK538" s="199"/>
      <c r="FL538" s="199"/>
      <c r="FM538" s="182"/>
      <c r="FN538" s="200"/>
      <c r="FO538" s="199"/>
      <c r="FP538" s="199"/>
      <c r="FQ538" s="182"/>
      <c r="FR538" s="200"/>
      <c r="FS538" s="199"/>
      <c r="FT538" s="199"/>
      <c r="FU538" s="182"/>
      <c r="FV538" s="200"/>
      <c r="FW538" s="199"/>
      <c r="FX538" s="199"/>
      <c r="FY538" s="182"/>
      <c r="FZ538" s="200"/>
      <c r="GA538" s="199"/>
      <c r="GB538" s="199"/>
      <c r="GC538" s="182"/>
      <c r="GD538" s="200"/>
      <c r="GE538" s="199"/>
      <c r="GF538" s="199"/>
      <c r="GG538" s="182"/>
      <c r="GH538" s="200"/>
      <c r="GI538" s="199"/>
      <c r="GJ538" s="199"/>
      <c r="GK538" s="182"/>
      <c r="GL538" s="200"/>
      <c r="GM538" s="199"/>
      <c r="GN538" s="199"/>
      <c r="GO538" s="182"/>
      <c r="GP538" s="200"/>
      <c r="GQ538" s="199"/>
      <c r="GR538" s="199"/>
      <c r="GS538" s="182"/>
      <c r="GT538" s="200"/>
      <c r="GU538" s="199"/>
      <c r="GV538" s="199"/>
      <c r="GW538" s="182"/>
      <c r="GX538" s="200"/>
      <c r="GY538" s="199"/>
      <c r="GZ538" s="199"/>
      <c r="HA538" s="182"/>
      <c r="HB538" s="200"/>
      <c r="HC538" s="199"/>
      <c r="HD538" s="199"/>
      <c r="HE538" s="182"/>
      <c r="HF538" s="200"/>
      <c r="HG538" s="199"/>
      <c r="HH538" s="199"/>
      <c r="HI538" s="182"/>
      <c r="HJ538" s="200"/>
      <c r="HK538" s="199"/>
      <c r="HL538" s="199"/>
      <c r="HM538" s="182"/>
      <c r="HN538" s="200"/>
      <c r="HO538" s="199"/>
      <c r="HP538" s="199"/>
      <c r="HQ538" s="182"/>
      <c r="HR538" s="200"/>
      <c r="HS538" s="199"/>
      <c r="HT538" s="199"/>
      <c r="HU538" s="182"/>
      <c r="HV538" s="200"/>
      <c r="HW538" s="199"/>
      <c r="HX538" s="199"/>
      <c r="HY538" s="182"/>
      <c r="HZ538" s="200"/>
      <c r="IA538" s="199"/>
      <c r="IB538" s="199"/>
      <c r="IC538" s="182"/>
      <c r="ID538" s="200"/>
      <c r="IE538" s="199"/>
      <c r="IF538" s="199"/>
      <c r="IG538" s="182"/>
      <c r="IH538" s="200"/>
      <c r="II538" s="199"/>
      <c r="IJ538" s="199"/>
      <c r="IK538" s="182"/>
      <c r="IL538" s="200"/>
      <c r="IM538" s="199"/>
      <c r="IN538" s="199"/>
      <c r="IO538" s="182"/>
      <c r="IP538" s="200"/>
      <c r="IQ538" s="199"/>
      <c r="IR538" s="199"/>
      <c r="IS538" s="182"/>
    </row>
    <row r="539" spans="1:253" ht="15" x14ac:dyDescent="0.2">
      <c r="A539" s="337" t="s">
        <v>34</v>
      </c>
      <c r="B539" s="318" t="s">
        <v>170</v>
      </c>
      <c r="C539" s="291" t="s">
        <v>94</v>
      </c>
      <c r="D539" s="325">
        <v>715</v>
      </c>
      <c r="E539" s="300">
        <v>0</v>
      </c>
      <c r="F539" s="301">
        <f t="shared" ref="F539:F545" si="151">E539*D539</f>
        <v>0</v>
      </c>
      <c r="G539" s="322">
        <v>2</v>
      </c>
      <c r="H539" s="300">
        <v>48</v>
      </c>
      <c r="I539" s="310">
        <f t="shared" ref="I539:I545" si="152">D539*H539</f>
        <v>34320</v>
      </c>
      <c r="J539" s="486">
        <f t="shared" si="144"/>
        <v>34320</v>
      </c>
      <c r="K539" s="199"/>
      <c r="L539" s="199"/>
      <c r="M539" s="182"/>
      <c r="N539" s="200"/>
      <c r="O539" s="199"/>
      <c r="P539" s="199"/>
      <c r="Q539" s="182"/>
      <c r="R539" s="200"/>
      <c r="S539" s="199"/>
      <c r="T539" s="199"/>
      <c r="U539" s="182"/>
      <c r="V539" s="200"/>
      <c r="W539" s="199"/>
      <c r="X539" s="199"/>
      <c r="Y539" s="182"/>
      <c r="Z539" s="200"/>
      <c r="AA539" s="199"/>
      <c r="AB539" s="199"/>
      <c r="AC539" s="182"/>
      <c r="AD539" s="200"/>
      <c r="AE539" s="199"/>
      <c r="AF539" s="199"/>
      <c r="AG539" s="182"/>
      <c r="AH539" s="200"/>
      <c r="AI539" s="199"/>
      <c r="AJ539" s="199"/>
      <c r="AK539" s="182"/>
      <c r="AL539" s="200"/>
      <c r="AM539" s="199"/>
      <c r="AN539" s="199"/>
      <c r="AO539" s="182"/>
      <c r="AP539" s="200"/>
      <c r="AQ539" s="199"/>
      <c r="AR539" s="199"/>
      <c r="AS539" s="182"/>
      <c r="AT539" s="200"/>
      <c r="AU539" s="199"/>
      <c r="AV539" s="199"/>
      <c r="AW539" s="182"/>
      <c r="AX539" s="200"/>
      <c r="AY539" s="199"/>
      <c r="AZ539" s="199"/>
      <c r="BA539" s="182"/>
      <c r="BB539" s="200"/>
      <c r="BC539" s="199"/>
      <c r="BD539" s="199"/>
      <c r="BE539" s="182"/>
      <c r="BF539" s="200"/>
      <c r="BG539" s="199"/>
      <c r="BH539" s="199"/>
      <c r="BI539" s="182"/>
      <c r="BJ539" s="200"/>
      <c r="BK539" s="199"/>
      <c r="BL539" s="199"/>
      <c r="BM539" s="182"/>
      <c r="BN539" s="200"/>
      <c r="BO539" s="199"/>
      <c r="BP539" s="199"/>
      <c r="BQ539" s="182"/>
      <c r="BR539" s="200"/>
      <c r="BS539" s="199"/>
      <c r="BT539" s="199"/>
      <c r="BU539" s="182"/>
      <c r="BV539" s="200"/>
      <c r="BW539" s="199"/>
      <c r="BX539" s="199"/>
      <c r="BY539" s="182"/>
      <c r="BZ539" s="200"/>
      <c r="CA539" s="199"/>
      <c r="CB539" s="199"/>
      <c r="CC539" s="182"/>
      <c r="CD539" s="200"/>
      <c r="CE539" s="199"/>
      <c r="CF539" s="199"/>
      <c r="CG539" s="182"/>
      <c r="CH539" s="200"/>
      <c r="CI539" s="199"/>
      <c r="CJ539" s="199"/>
      <c r="CK539" s="182"/>
      <c r="CL539" s="200"/>
      <c r="CM539" s="199"/>
      <c r="CN539" s="199"/>
      <c r="CO539" s="182"/>
      <c r="CP539" s="200"/>
      <c r="CQ539" s="199"/>
      <c r="CR539" s="199"/>
      <c r="CS539" s="182"/>
      <c r="CT539" s="200"/>
      <c r="CU539" s="199"/>
      <c r="CV539" s="199"/>
      <c r="CW539" s="182"/>
      <c r="CX539" s="200"/>
      <c r="CY539" s="199"/>
      <c r="CZ539" s="199"/>
      <c r="DA539" s="182"/>
      <c r="DB539" s="200"/>
      <c r="DC539" s="199"/>
      <c r="DD539" s="199"/>
      <c r="DE539" s="182"/>
      <c r="DF539" s="200"/>
      <c r="DG539" s="199"/>
      <c r="DH539" s="199"/>
      <c r="DI539" s="182"/>
      <c r="DJ539" s="200"/>
      <c r="DK539" s="199"/>
      <c r="DL539" s="199"/>
      <c r="DM539" s="182"/>
      <c r="DN539" s="200"/>
      <c r="DO539" s="199"/>
      <c r="DP539" s="199"/>
      <c r="DQ539" s="182"/>
      <c r="DR539" s="200"/>
      <c r="DS539" s="199"/>
      <c r="DT539" s="199"/>
      <c r="DU539" s="182"/>
      <c r="DV539" s="200"/>
      <c r="DW539" s="199"/>
      <c r="DX539" s="199"/>
      <c r="DY539" s="182"/>
      <c r="DZ539" s="200"/>
      <c r="EA539" s="199"/>
      <c r="EB539" s="199"/>
      <c r="EC539" s="182"/>
      <c r="ED539" s="200"/>
      <c r="EE539" s="199"/>
      <c r="EF539" s="199"/>
      <c r="EG539" s="182"/>
      <c r="EH539" s="200"/>
      <c r="EI539" s="199"/>
      <c r="EJ539" s="199"/>
      <c r="EK539" s="182"/>
      <c r="EL539" s="200"/>
      <c r="EM539" s="199"/>
      <c r="EN539" s="199"/>
      <c r="EO539" s="182"/>
      <c r="EP539" s="200"/>
      <c r="EQ539" s="199"/>
      <c r="ER539" s="199"/>
      <c r="ES539" s="182"/>
      <c r="ET539" s="200"/>
      <c r="EU539" s="199"/>
      <c r="EV539" s="199"/>
      <c r="EW539" s="182"/>
      <c r="EX539" s="200"/>
      <c r="EY539" s="199"/>
      <c r="EZ539" s="199"/>
      <c r="FA539" s="182"/>
      <c r="FB539" s="200"/>
      <c r="FC539" s="199"/>
      <c r="FD539" s="199"/>
      <c r="FE539" s="182"/>
      <c r="FF539" s="200"/>
      <c r="FG539" s="199"/>
      <c r="FH539" s="199"/>
      <c r="FI539" s="182"/>
      <c r="FJ539" s="200"/>
      <c r="FK539" s="199"/>
      <c r="FL539" s="199"/>
      <c r="FM539" s="182"/>
      <c r="FN539" s="200"/>
      <c r="FO539" s="199"/>
      <c r="FP539" s="199"/>
      <c r="FQ539" s="182"/>
      <c r="FR539" s="200"/>
      <c r="FS539" s="199"/>
      <c r="FT539" s="199"/>
      <c r="FU539" s="182"/>
      <c r="FV539" s="200"/>
      <c r="FW539" s="199"/>
      <c r="FX539" s="199"/>
      <c r="FY539" s="182"/>
      <c r="FZ539" s="200"/>
      <c r="GA539" s="199"/>
      <c r="GB539" s="199"/>
      <c r="GC539" s="182"/>
      <c r="GD539" s="200"/>
      <c r="GE539" s="199"/>
      <c r="GF539" s="199"/>
      <c r="GG539" s="182"/>
      <c r="GH539" s="200"/>
      <c r="GI539" s="199"/>
      <c r="GJ539" s="199"/>
      <c r="GK539" s="182"/>
      <c r="GL539" s="200"/>
      <c r="GM539" s="199"/>
      <c r="GN539" s="199"/>
      <c r="GO539" s="182"/>
      <c r="GP539" s="200"/>
      <c r="GQ539" s="199"/>
      <c r="GR539" s="199"/>
      <c r="GS539" s="182"/>
      <c r="GT539" s="200"/>
      <c r="GU539" s="199"/>
      <c r="GV539" s="199"/>
      <c r="GW539" s="182"/>
      <c r="GX539" s="200"/>
      <c r="GY539" s="199"/>
      <c r="GZ539" s="199"/>
      <c r="HA539" s="182"/>
      <c r="HB539" s="200"/>
      <c r="HC539" s="199"/>
      <c r="HD539" s="199"/>
      <c r="HE539" s="182"/>
      <c r="HF539" s="200"/>
      <c r="HG539" s="199"/>
      <c r="HH539" s="199"/>
      <c r="HI539" s="182"/>
      <c r="HJ539" s="200"/>
      <c r="HK539" s="199"/>
      <c r="HL539" s="199"/>
      <c r="HM539" s="182"/>
      <c r="HN539" s="200"/>
      <c r="HO539" s="199"/>
      <c r="HP539" s="199"/>
      <c r="HQ539" s="182"/>
      <c r="HR539" s="200"/>
      <c r="HS539" s="199"/>
      <c r="HT539" s="199"/>
      <c r="HU539" s="182"/>
      <c r="HV539" s="200"/>
      <c r="HW539" s="199"/>
      <c r="HX539" s="199"/>
      <c r="HY539" s="182"/>
      <c r="HZ539" s="200"/>
      <c r="IA539" s="199"/>
      <c r="IB539" s="199"/>
      <c r="IC539" s="182"/>
      <c r="ID539" s="200"/>
      <c r="IE539" s="199"/>
      <c r="IF539" s="199"/>
      <c r="IG539" s="182"/>
      <c r="IH539" s="200"/>
      <c r="II539" s="199"/>
      <c r="IJ539" s="199"/>
      <c r="IK539" s="182"/>
      <c r="IL539" s="200"/>
      <c r="IM539" s="199"/>
      <c r="IN539" s="199"/>
      <c r="IO539" s="182"/>
      <c r="IP539" s="200"/>
      <c r="IQ539" s="199"/>
      <c r="IR539" s="199"/>
      <c r="IS539" s="182"/>
    </row>
    <row r="540" spans="1:253" ht="15" x14ac:dyDescent="0.2">
      <c r="A540" s="337" t="s">
        <v>206</v>
      </c>
      <c r="B540" s="291">
        <v>211</v>
      </c>
      <c r="C540" s="291" t="s">
        <v>44</v>
      </c>
      <c r="D540" s="321">
        <v>20</v>
      </c>
      <c r="E540" s="300">
        <v>0</v>
      </c>
      <c r="F540" s="301">
        <f t="shared" si="151"/>
        <v>0</v>
      </c>
      <c r="G540" s="322">
        <v>2</v>
      </c>
      <c r="H540" s="300">
        <f>(4*2)*2</f>
        <v>16</v>
      </c>
      <c r="I540" s="310">
        <f t="shared" si="152"/>
        <v>320</v>
      </c>
      <c r="J540" s="486">
        <f t="shared" si="144"/>
        <v>320</v>
      </c>
      <c r="K540" s="199"/>
      <c r="L540" s="199"/>
      <c r="M540" s="182"/>
      <c r="N540" s="200"/>
      <c r="O540" s="199"/>
      <c r="P540" s="199"/>
      <c r="Q540" s="182"/>
      <c r="R540" s="200"/>
      <c r="S540" s="199"/>
      <c r="T540" s="199"/>
      <c r="U540" s="182"/>
      <c r="V540" s="200"/>
      <c r="W540" s="199"/>
      <c r="X540" s="199"/>
      <c r="Y540" s="182"/>
      <c r="Z540" s="200"/>
      <c r="AA540" s="199"/>
      <c r="AB540" s="199"/>
      <c r="AC540" s="182"/>
      <c r="AD540" s="200"/>
      <c r="AE540" s="199"/>
      <c r="AF540" s="199"/>
      <c r="AG540" s="182"/>
      <c r="AH540" s="200"/>
      <c r="AI540" s="199"/>
      <c r="AJ540" s="199"/>
      <c r="AK540" s="182"/>
      <c r="AL540" s="200"/>
      <c r="AM540" s="199"/>
      <c r="AN540" s="199"/>
      <c r="AO540" s="182"/>
      <c r="AP540" s="200"/>
      <c r="AQ540" s="199"/>
      <c r="AR540" s="199"/>
      <c r="AS540" s="182"/>
      <c r="AT540" s="200"/>
      <c r="AU540" s="199"/>
      <c r="AV540" s="199"/>
      <c r="AW540" s="182"/>
      <c r="AX540" s="200"/>
      <c r="AY540" s="199"/>
      <c r="AZ540" s="199"/>
      <c r="BA540" s="182"/>
      <c r="BB540" s="200"/>
      <c r="BC540" s="199"/>
      <c r="BD540" s="199"/>
      <c r="BE540" s="182"/>
      <c r="BF540" s="200"/>
      <c r="BG540" s="199"/>
      <c r="BH540" s="199"/>
      <c r="BI540" s="182"/>
      <c r="BJ540" s="200"/>
      <c r="BK540" s="199"/>
      <c r="BL540" s="199"/>
      <c r="BM540" s="182"/>
      <c r="BN540" s="200"/>
      <c r="BO540" s="199"/>
      <c r="BP540" s="199"/>
      <c r="BQ540" s="182"/>
      <c r="BR540" s="200"/>
      <c r="BS540" s="199"/>
      <c r="BT540" s="199"/>
      <c r="BU540" s="182"/>
      <c r="BV540" s="200"/>
      <c r="BW540" s="199"/>
      <c r="BX540" s="199"/>
      <c r="BY540" s="182"/>
      <c r="BZ540" s="200"/>
      <c r="CA540" s="199"/>
      <c r="CB540" s="199"/>
      <c r="CC540" s="182"/>
      <c r="CD540" s="200"/>
      <c r="CE540" s="199"/>
      <c r="CF540" s="199"/>
      <c r="CG540" s="182"/>
      <c r="CH540" s="200"/>
      <c r="CI540" s="199"/>
      <c r="CJ540" s="199"/>
      <c r="CK540" s="182"/>
      <c r="CL540" s="200"/>
      <c r="CM540" s="199"/>
      <c r="CN540" s="199"/>
      <c r="CO540" s="182"/>
      <c r="CP540" s="200"/>
      <c r="CQ540" s="199"/>
      <c r="CR540" s="199"/>
      <c r="CS540" s="182"/>
      <c r="CT540" s="200"/>
      <c r="CU540" s="199"/>
      <c r="CV540" s="199"/>
      <c r="CW540" s="182"/>
      <c r="CX540" s="200"/>
      <c r="CY540" s="199"/>
      <c r="CZ540" s="199"/>
      <c r="DA540" s="182"/>
      <c r="DB540" s="200"/>
      <c r="DC540" s="199"/>
      <c r="DD540" s="199"/>
      <c r="DE540" s="182"/>
      <c r="DF540" s="200"/>
      <c r="DG540" s="199"/>
      <c r="DH540" s="199"/>
      <c r="DI540" s="182"/>
      <c r="DJ540" s="200"/>
      <c r="DK540" s="199"/>
      <c r="DL540" s="199"/>
      <c r="DM540" s="182"/>
      <c r="DN540" s="200"/>
      <c r="DO540" s="199"/>
      <c r="DP540" s="199"/>
      <c r="DQ540" s="182"/>
      <c r="DR540" s="200"/>
      <c r="DS540" s="199"/>
      <c r="DT540" s="199"/>
      <c r="DU540" s="182"/>
      <c r="DV540" s="200"/>
      <c r="DW540" s="199"/>
      <c r="DX540" s="199"/>
      <c r="DY540" s="182"/>
      <c r="DZ540" s="200"/>
      <c r="EA540" s="199"/>
      <c r="EB540" s="199"/>
      <c r="EC540" s="182"/>
      <c r="ED540" s="200"/>
      <c r="EE540" s="199"/>
      <c r="EF540" s="199"/>
      <c r="EG540" s="182"/>
      <c r="EH540" s="200"/>
      <c r="EI540" s="199"/>
      <c r="EJ540" s="199"/>
      <c r="EK540" s="182"/>
      <c r="EL540" s="200"/>
      <c r="EM540" s="199"/>
      <c r="EN540" s="199"/>
      <c r="EO540" s="182"/>
      <c r="EP540" s="200"/>
      <c r="EQ540" s="199"/>
      <c r="ER540" s="199"/>
      <c r="ES540" s="182"/>
      <c r="ET540" s="200"/>
      <c r="EU540" s="199"/>
      <c r="EV540" s="199"/>
      <c r="EW540" s="182"/>
      <c r="EX540" s="200"/>
      <c r="EY540" s="199"/>
      <c r="EZ540" s="199"/>
      <c r="FA540" s="182"/>
      <c r="FB540" s="200"/>
      <c r="FC540" s="199"/>
      <c r="FD540" s="199"/>
      <c r="FE540" s="182"/>
      <c r="FF540" s="200"/>
      <c r="FG540" s="199"/>
      <c r="FH540" s="199"/>
      <c r="FI540" s="182"/>
      <c r="FJ540" s="200"/>
      <c r="FK540" s="199"/>
      <c r="FL540" s="199"/>
      <c r="FM540" s="182"/>
      <c r="FN540" s="200"/>
      <c r="FO540" s="199"/>
      <c r="FP540" s="199"/>
      <c r="FQ540" s="182"/>
      <c r="FR540" s="200"/>
      <c r="FS540" s="199"/>
      <c r="FT540" s="199"/>
      <c r="FU540" s="182"/>
      <c r="FV540" s="200"/>
      <c r="FW540" s="199"/>
      <c r="FX540" s="199"/>
      <c r="FY540" s="182"/>
      <c r="FZ540" s="200"/>
      <c r="GA540" s="199"/>
      <c r="GB540" s="199"/>
      <c r="GC540" s="182"/>
      <c r="GD540" s="200"/>
      <c r="GE540" s="199"/>
      <c r="GF540" s="199"/>
      <c r="GG540" s="182"/>
      <c r="GH540" s="200"/>
      <c r="GI540" s="199"/>
      <c r="GJ540" s="199"/>
      <c r="GK540" s="182"/>
      <c r="GL540" s="200"/>
      <c r="GM540" s="199"/>
      <c r="GN540" s="199"/>
      <c r="GO540" s="182"/>
      <c r="GP540" s="200"/>
      <c r="GQ540" s="199"/>
      <c r="GR540" s="199"/>
      <c r="GS540" s="182"/>
      <c r="GT540" s="200"/>
      <c r="GU540" s="199"/>
      <c r="GV540" s="199"/>
      <c r="GW540" s="182"/>
      <c r="GX540" s="200"/>
      <c r="GY540" s="199"/>
      <c r="GZ540" s="199"/>
      <c r="HA540" s="182"/>
      <c r="HB540" s="200"/>
      <c r="HC540" s="199"/>
      <c r="HD540" s="199"/>
      <c r="HE540" s="182"/>
      <c r="HF540" s="200"/>
      <c r="HG540" s="199"/>
      <c r="HH540" s="199"/>
      <c r="HI540" s="182"/>
      <c r="HJ540" s="200"/>
      <c r="HK540" s="199"/>
      <c r="HL540" s="199"/>
      <c r="HM540" s="182"/>
      <c r="HN540" s="200"/>
      <c r="HO540" s="199"/>
      <c r="HP540" s="199"/>
      <c r="HQ540" s="182"/>
      <c r="HR540" s="200"/>
      <c r="HS540" s="199"/>
      <c r="HT540" s="199"/>
      <c r="HU540" s="182"/>
      <c r="HV540" s="200"/>
      <c r="HW540" s="199"/>
      <c r="HX540" s="199"/>
      <c r="HY540" s="182"/>
      <c r="HZ540" s="200"/>
      <c r="IA540" s="199"/>
      <c r="IB540" s="199"/>
      <c r="IC540" s="182"/>
      <c r="ID540" s="200"/>
      <c r="IE540" s="199"/>
      <c r="IF540" s="199"/>
      <c r="IG540" s="182"/>
      <c r="IH540" s="200"/>
      <c r="II540" s="199"/>
      <c r="IJ540" s="199"/>
      <c r="IK540" s="182"/>
      <c r="IL540" s="200"/>
      <c r="IM540" s="199"/>
      <c r="IN540" s="199"/>
      <c r="IO540" s="182"/>
      <c r="IP540" s="200"/>
      <c r="IQ540" s="199"/>
      <c r="IR540" s="199"/>
      <c r="IS540" s="182"/>
    </row>
    <row r="541" spans="1:253" ht="15" x14ac:dyDescent="0.2">
      <c r="A541" s="337" t="s">
        <v>121</v>
      </c>
      <c r="B541" s="291">
        <v>262</v>
      </c>
      <c r="C541" s="291" t="s">
        <v>61</v>
      </c>
      <c r="D541" s="321">
        <v>36</v>
      </c>
      <c r="E541" s="300">
        <v>0</v>
      </c>
      <c r="F541" s="301">
        <f t="shared" si="151"/>
        <v>0</v>
      </c>
      <c r="G541" s="322">
        <v>2</v>
      </c>
      <c r="H541" s="300">
        <v>30</v>
      </c>
      <c r="I541" s="310">
        <f t="shared" si="152"/>
        <v>1080</v>
      </c>
      <c r="J541" s="486">
        <f t="shared" si="144"/>
        <v>1080</v>
      </c>
      <c r="K541" s="199"/>
      <c r="L541" s="199"/>
      <c r="M541" s="182"/>
      <c r="N541" s="200"/>
      <c r="O541" s="199"/>
      <c r="P541" s="199"/>
      <c r="Q541" s="182"/>
      <c r="R541" s="200"/>
      <c r="S541" s="199"/>
      <c r="T541" s="199"/>
      <c r="U541" s="182"/>
      <c r="V541" s="200"/>
      <c r="W541" s="199"/>
      <c r="X541" s="199"/>
      <c r="Y541" s="182"/>
      <c r="Z541" s="200"/>
      <c r="AA541" s="199"/>
      <c r="AB541" s="199"/>
      <c r="AC541" s="182"/>
      <c r="AD541" s="200"/>
      <c r="AE541" s="199"/>
      <c r="AF541" s="199"/>
      <c r="AG541" s="182"/>
      <c r="AH541" s="200"/>
      <c r="AI541" s="199"/>
      <c r="AJ541" s="199"/>
      <c r="AK541" s="182"/>
      <c r="AL541" s="200"/>
      <c r="AM541" s="199"/>
      <c r="AN541" s="199"/>
      <c r="AO541" s="182"/>
      <c r="AP541" s="200"/>
      <c r="AQ541" s="199"/>
      <c r="AR541" s="199"/>
      <c r="AS541" s="182"/>
      <c r="AT541" s="200"/>
      <c r="AU541" s="199"/>
      <c r="AV541" s="199"/>
      <c r="AW541" s="182"/>
      <c r="AX541" s="200"/>
      <c r="AY541" s="199"/>
      <c r="AZ541" s="199"/>
      <c r="BA541" s="182"/>
      <c r="BB541" s="200"/>
      <c r="BC541" s="199"/>
      <c r="BD541" s="199"/>
      <c r="BE541" s="182"/>
      <c r="BF541" s="200"/>
      <c r="BG541" s="199"/>
      <c r="BH541" s="199"/>
      <c r="BI541" s="182"/>
      <c r="BJ541" s="200"/>
      <c r="BK541" s="199"/>
      <c r="BL541" s="199"/>
      <c r="BM541" s="182"/>
      <c r="BN541" s="200"/>
      <c r="BO541" s="199"/>
      <c r="BP541" s="199"/>
      <c r="BQ541" s="182"/>
      <c r="BR541" s="200"/>
      <c r="BS541" s="199"/>
      <c r="BT541" s="199"/>
      <c r="BU541" s="182"/>
      <c r="BV541" s="200"/>
      <c r="BW541" s="199"/>
      <c r="BX541" s="199"/>
      <c r="BY541" s="182"/>
      <c r="BZ541" s="200"/>
      <c r="CA541" s="199"/>
      <c r="CB541" s="199"/>
      <c r="CC541" s="182"/>
      <c r="CD541" s="200"/>
      <c r="CE541" s="199"/>
      <c r="CF541" s="199"/>
      <c r="CG541" s="182"/>
      <c r="CH541" s="200"/>
      <c r="CI541" s="199"/>
      <c r="CJ541" s="199"/>
      <c r="CK541" s="182"/>
      <c r="CL541" s="200"/>
      <c r="CM541" s="199"/>
      <c r="CN541" s="199"/>
      <c r="CO541" s="182"/>
      <c r="CP541" s="200"/>
      <c r="CQ541" s="199"/>
      <c r="CR541" s="199"/>
      <c r="CS541" s="182"/>
      <c r="CT541" s="200"/>
      <c r="CU541" s="199"/>
      <c r="CV541" s="199"/>
      <c r="CW541" s="182"/>
      <c r="CX541" s="200"/>
      <c r="CY541" s="199"/>
      <c r="CZ541" s="199"/>
      <c r="DA541" s="182"/>
      <c r="DB541" s="200"/>
      <c r="DC541" s="199"/>
      <c r="DD541" s="199"/>
      <c r="DE541" s="182"/>
      <c r="DF541" s="200"/>
      <c r="DG541" s="199"/>
      <c r="DH541" s="199"/>
      <c r="DI541" s="182"/>
      <c r="DJ541" s="200"/>
      <c r="DK541" s="199"/>
      <c r="DL541" s="199"/>
      <c r="DM541" s="182"/>
      <c r="DN541" s="200"/>
      <c r="DO541" s="199"/>
      <c r="DP541" s="199"/>
      <c r="DQ541" s="182"/>
      <c r="DR541" s="200"/>
      <c r="DS541" s="199"/>
      <c r="DT541" s="199"/>
      <c r="DU541" s="182"/>
      <c r="DV541" s="200"/>
      <c r="DW541" s="199"/>
      <c r="DX541" s="199"/>
      <c r="DY541" s="182"/>
      <c r="DZ541" s="200"/>
      <c r="EA541" s="199"/>
      <c r="EB541" s="199"/>
      <c r="EC541" s="182"/>
      <c r="ED541" s="200"/>
      <c r="EE541" s="199"/>
      <c r="EF541" s="199"/>
      <c r="EG541" s="182"/>
      <c r="EH541" s="200"/>
      <c r="EI541" s="199"/>
      <c r="EJ541" s="199"/>
      <c r="EK541" s="182"/>
      <c r="EL541" s="200"/>
      <c r="EM541" s="199"/>
      <c r="EN541" s="199"/>
      <c r="EO541" s="182"/>
      <c r="EP541" s="200"/>
      <c r="EQ541" s="199"/>
      <c r="ER541" s="199"/>
      <c r="ES541" s="182"/>
      <c r="ET541" s="200"/>
      <c r="EU541" s="199"/>
      <c r="EV541" s="199"/>
      <c r="EW541" s="182"/>
      <c r="EX541" s="200"/>
      <c r="EY541" s="199"/>
      <c r="EZ541" s="199"/>
      <c r="FA541" s="182"/>
      <c r="FB541" s="200"/>
      <c r="FC541" s="199"/>
      <c r="FD541" s="199"/>
      <c r="FE541" s="182"/>
      <c r="FF541" s="200"/>
      <c r="FG541" s="199"/>
      <c r="FH541" s="199"/>
      <c r="FI541" s="182"/>
      <c r="FJ541" s="200"/>
      <c r="FK541" s="199"/>
      <c r="FL541" s="199"/>
      <c r="FM541" s="182"/>
      <c r="FN541" s="200"/>
      <c r="FO541" s="199"/>
      <c r="FP541" s="199"/>
      <c r="FQ541" s="182"/>
      <c r="FR541" s="200"/>
      <c r="FS541" s="199"/>
      <c r="FT541" s="199"/>
      <c r="FU541" s="182"/>
      <c r="FV541" s="200"/>
      <c r="FW541" s="199"/>
      <c r="FX541" s="199"/>
      <c r="FY541" s="182"/>
      <c r="FZ541" s="200"/>
      <c r="GA541" s="199"/>
      <c r="GB541" s="199"/>
      <c r="GC541" s="182"/>
      <c r="GD541" s="200"/>
      <c r="GE541" s="199"/>
      <c r="GF541" s="199"/>
      <c r="GG541" s="182"/>
      <c r="GH541" s="200"/>
      <c r="GI541" s="199"/>
      <c r="GJ541" s="199"/>
      <c r="GK541" s="182"/>
      <c r="GL541" s="200"/>
      <c r="GM541" s="199"/>
      <c r="GN541" s="199"/>
      <c r="GO541" s="182"/>
      <c r="GP541" s="200"/>
      <c r="GQ541" s="199"/>
      <c r="GR541" s="199"/>
      <c r="GS541" s="182"/>
      <c r="GT541" s="200"/>
      <c r="GU541" s="199"/>
      <c r="GV541" s="199"/>
      <c r="GW541" s="182"/>
      <c r="GX541" s="200"/>
      <c r="GY541" s="199"/>
      <c r="GZ541" s="199"/>
      <c r="HA541" s="182"/>
      <c r="HB541" s="200"/>
      <c r="HC541" s="199"/>
      <c r="HD541" s="199"/>
      <c r="HE541" s="182"/>
      <c r="HF541" s="200"/>
      <c r="HG541" s="199"/>
      <c r="HH541" s="199"/>
      <c r="HI541" s="182"/>
      <c r="HJ541" s="200"/>
      <c r="HK541" s="199"/>
      <c r="HL541" s="199"/>
      <c r="HM541" s="182"/>
      <c r="HN541" s="200"/>
      <c r="HO541" s="199"/>
      <c r="HP541" s="199"/>
      <c r="HQ541" s="182"/>
      <c r="HR541" s="200"/>
      <c r="HS541" s="199"/>
      <c r="HT541" s="199"/>
      <c r="HU541" s="182"/>
      <c r="HV541" s="200"/>
      <c r="HW541" s="199"/>
      <c r="HX541" s="199"/>
      <c r="HY541" s="182"/>
      <c r="HZ541" s="200"/>
      <c r="IA541" s="199"/>
      <c r="IB541" s="199"/>
      <c r="IC541" s="182"/>
      <c r="ID541" s="200"/>
      <c r="IE541" s="199"/>
      <c r="IF541" s="199"/>
      <c r="IG541" s="182"/>
      <c r="IH541" s="200"/>
      <c r="II541" s="199"/>
      <c r="IJ541" s="199"/>
      <c r="IK541" s="182"/>
      <c r="IL541" s="200"/>
      <c r="IM541" s="199"/>
      <c r="IN541" s="199"/>
      <c r="IO541" s="182"/>
      <c r="IP541" s="200"/>
      <c r="IQ541" s="199"/>
      <c r="IR541" s="199"/>
      <c r="IS541" s="182"/>
    </row>
    <row r="542" spans="1:253" s="54" customFormat="1" ht="15" x14ac:dyDescent="0.2">
      <c r="A542" s="337" t="s">
        <v>84</v>
      </c>
      <c r="B542" s="291">
        <v>165</v>
      </c>
      <c r="C542" s="291" t="s">
        <v>44</v>
      </c>
      <c r="D542" s="321">
        <v>1500</v>
      </c>
      <c r="E542" s="300">
        <v>0</v>
      </c>
      <c r="F542" s="301">
        <f t="shared" si="151"/>
        <v>0</v>
      </c>
      <c r="G542" s="322">
        <v>2</v>
      </c>
      <c r="H542" s="300">
        <v>1</v>
      </c>
      <c r="I542" s="310">
        <f t="shared" si="152"/>
        <v>1500</v>
      </c>
      <c r="J542" s="486">
        <f t="shared" si="144"/>
        <v>1500</v>
      </c>
    </row>
    <row r="543" spans="1:253" s="55" customFormat="1" ht="15" x14ac:dyDescent="0.2">
      <c r="A543" s="337" t="s">
        <v>207</v>
      </c>
      <c r="B543" s="291">
        <v>291</v>
      </c>
      <c r="C543" s="291" t="s">
        <v>44</v>
      </c>
      <c r="D543" s="321">
        <v>20</v>
      </c>
      <c r="E543" s="300">
        <v>0</v>
      </c>
      <c r="F543" s="301">
        <f t="shared" si="151"/>
        <v>0</v>
      </c>
      <c r="G543" s="322">
        <v>2</v>
      </c>
      <c r="H543" s="300">
        <v>2</v>
      </c>
      <c r="I543" s="310">
        <f t="shared" si="152"/>
        <v>40</v>
      </c>
      <c r="J543" s="486">
        <f t="shared" si="144"/>
        <v>40</v>
      </c>
    </row>
    <row r="544" spans="1:253" s="55" customFormat="1" ht="15" x14ac:dyDescent="0.2">
      <c r="A544" s="337" t="s">
        <v>208</v>
      </c>
      <c r="B544" s="291">
        <v>268</v>
      </c>
      <c r="C544" s="291" t="s">
        <v>44</v>
      </c>
      <c r="D544" s="321">
        <v>20</v>
      </c>
      <c r="E544" s="300">
        <v>0</v>
      </c>
      <c r="F544" s="301">
        <f t="shared" si="151"/>
        <v>0</v>
      </c>
      <c r="G544" s="322">
        <v>2</v>
      </c>
      <c r="H544" s="547">
        <v>6</v>
      </c>
      <c r="I544" s="310">
        <f t="shared" si="152"/>
        <v>120</v>
      </c>
      <c r="J544" s="486">
        <f t="shared" si="144"/>
        <v>120</v>
      </c>
    </row>
    <row r="545" spans="1:10" ht="15" x14ac:dyDescent="0.2">
      <c r="A545" s="337" t="s">
        <v>204</v>
      </c>
      <c r="B545" s="291">
        <v>267</v>
      </c>
      <c r="C545" s="291" t="s">
        <v>44</v>
      </c>
      <c r="D545" s="321">
        <v>350</v>
      </c>
      <c r="E545" s="300">
        <v>0</v>
      </c>
      <c r="F545" s="301">
        <f t="shared" si="151"/>
        <v>0</v>
      </c>
      <c r="G545" s="322">
        <v>2</v>
      </c>
      <c r="H545" s="300">
        <v>2</v>
      </c>
      <c r="I545" s="310">
        <f t="shared" si="152"/>
        <v>700</v>
      </c>
      <c r="J545" s="486">
        <f t="shared" si="144"/>
        <v>700</v>
      </c>
    </row>
    <row r="546" spans="1:10" ht="51" customHeight="1" x14ac:dyDescent="0.2">
      <c r="A546" s="936" t="str">
        <f>RRI!D25</f>
        <v>5.2.1.2 Instaurar y poner en funcionamiento el Consejo Asesor del Parque Nacional Sierra de Lacandón integrado por actores locales representativos, como la máxima instancia de coordinación interinstitucional entre la Coadministración y organizaciones de la sociedad civil y el Estado.</v>
      </c>
      <c r="B546" s="937"/>
      <c r="C546" s="938"/>
      <c r="D546" s="679"/>
      <c r="E546" s="680"/>
      <c r="F546" s="681"/>
      <c r="G546" s="667"/>
      <c r="H546" s="682"/>
      <c r="I546" s="683">
        <f>SUM(I547:I550)</f>
        <v>84660</v>
      </c>
      <c r="J546" s="683">
        <f>SUM(J547:J550)</f>
        <v>84660</v>
      </c>
    </row>
    <row r="547" spans="1:10" ht="15" x14ac:dyDescent="0.2">
      <c r="A547" s="672" t="s">
        <v>34</v>
      </c>
      <c r="B547" s="318" t="s">
        <v>170</v>
      </c>
      <c r="C547" s="291" t="s">
        <v>94</v>
      </c>
      <c r="D547" s="648">
        <v>715</v>
      </c>
      <c r="E547" s="649">
        <v>0</v>
      </c>
      <c r="F547" s="650">
        <v>0</v>
      </c>
      <c r="G547" s="651">
        <v>2</v>
      </c>
      <c r="H547" s="649">
        <v>30</v>
      </c>
      <c r="I547" s="653">
        <f>D547*H547</f>
        <v>21450</v>
      </c>
      <c r="J547" s="678">
        <f>I547</f>
        <v>21450</v>
      </c>
    </row>
    <row r="548" spans="1:10" ht="15" x14ac:dyDescent="0.2">
      <c r="A548" s="673" t="s">
        <v>389</v>
      </c>
      <c r="B548" s="291">
        <v>29</v>
      </c>
      <c r="C548" s="291" t="s">
        <v>128</v>
      </c>
      <c r="D548" s="648">
        <v>475</v>
      </c>
      <c r="E548" s="649">
        <v>0</v>
      </c>
      <c r="F548" s="650">
        <v>0</v>
      </c>
      <c r="G548" s="651">
        <v>2</v>
      </c>
      <c r="H548" s="649">
        <v>30</v>
      </c>
      <c r="I548" s="653">
        <f>D548*H548</f>
        <v>14250</v>
      </c>
      <c r="J548" s="678">
        <f t="shared" ref="J548:J550" si="153">I548</f>
        <v>14250</v>
      </c>
    </row>
    <row r="549" spans="1:10" ht="15" x14ac:dyDescent="0.2">
      <c r="A549" s="674" t="s">
        <v>280</v>
      </c>
      <c r="B549" s="291">
        <v>196</v>
      </c>
      <c r="C549" s="291" t="s">
        <v>44</v>
      </c>
      <c r="D549" s="650">
        <v>380</v>
      </c>
      <c r="E549" s="649">
        <v>0</v>
      </c>
      <c r="F549" s="650">
        <v>0</v>
      </c>
      <c r="G549" s="651">
        <v>2</v>
      </c>
      <c r="H549" s="649">
        <f>6*6*2</f>
        <v>72</v>
      </c>
      <c r="I549" s="653">
        <f t="shared" ref="I549:I550" si="154">D549*H549</f>
        <v>27360</v>
      </c>
      <c r="J549" s="678">
        <f t="shared" si="153"/>
        <v>27360</v>
      </c>
    </row>
    <row r="550" spans="1:10" ht="15" x14ac:dyDescent="0.2">
      <c r="A550" s="674" t="s">
        <v>205</v>
      </c>
      <c r="B550" s="291">
        <v>141</v>
      </c>
      <c r="C550" s="291" t="s">
        <v>44</v>
      </c>
      <c r="D550" s="650">
        <v>1800</v>
      </c>
      <c r="E550" s="649">
        <v>0</v>
      </c>
      <c r="F550" s="650">
        <v>0</v>
      </c>
      <c r="G550" s="651">
        <v>2</v>
      </c>
      <c r="H550" s="649">
        <f>2*6</f>
        <v>12</v>
      </c>
      <c r="I550" s="653">
        <f t="shared" si="154"/>
        <v>21600</v>
      </c>
      <c r="J550" s="678">
        <f t="shared" si="153"/>
        <v>21600</v>
      </c>
    </row>
    <row r="551" spans="1:10" ht="34.5" customHeight="1" thickBot="1" x14ac:dyDescent="0.3">
      <c r="A551" s="951" t="str">
        <f>RRI!D26</f>
        <v>5.2.1.3 El funcionamiento de al menos dos (2) mesas técnicas o comittés de trabajo interinstitucional, sirven de marco para la coordinación interinstitucional  para tratar temas álgidos como gobernabilidad, conflictividad y desarrollo comunitario, en el PNSL.</v>
      </c>
      <c r="B551" s="952"/>
      <c r="C551" s="952"/>
      <c r="D551" s="630"/>
      <c r="E551" s="675"/>
      <c r="F551" s="676">
        <f t="shared" ref="F551" si="155">SUM(F552:F559)</f>
        <v>0</v>
      </c>
      <c r="G551" s="677"/>
      <c r="H551" s="677"/>
      <c r="I551" s="676">
        <f>SUM(I552:I560)</f>
        <v>34100</v>
      </c>
      <c r="J551" s="676">
        <f t="shared" si="144"/>
        <v>34100</v>
      </c>
    </row>
    <row r="552" spans="1:10" ht="15" x14ac:dyDescent="0.2">
      <c r="A552" s="337" t="s">
        <v>34</v>
      </c>
      <c r="B552" s="318" t="s">
        <v>170</v>
      </c>
      <c r="C552" s="291" t="s">
        <v>94</v>
      </c>
      <c r="D552" s="432">
        <v>715</v>
      </c>
      <c r="E552" s="300">
        <v>0</v>
      </c>
      <c r="F552" s="313">
        <f t="shared" ref="F552:F559" si="156">E552*D552</f>
        <v>0</v>
      </c>
      <c r="G552" s="322">
        <v>2</v>
      </c>
      <c r="H552" s="546">
        <v>15</v>
      </c>
      <c r="I552" s="312">
        <f t="shared" ref="I552:I560" si="157">D552*H552</f>
        <v>10725</v>
      </c>
      <c r="J552" s="493">
        <f t="shared" si="144"/>
        <v>10725</v>
      </c>
    </row>
    <row r="553" spans="1:10" ht="15" x14ac:dyDescent="0.2">
      <c r="A553" s="337" t="s">
        <v>164</v>
      </c>
      <c r="B553" s="318" t="s">
        <v>170</v>
      </c>
      <c r="C553" s="291" t="s">
        <v>94</v>
      </c>
      <c r="D553" s="321">
        <v>557</v>
      </c>
      <c r="E553" s="300">
        <v>0</v>
      </c>
      <c r="F553" s="313">
        <f t="shared" si="156"/>
        <v>0</v>
      </c>
      <c r="G553" s="322">
        <v>2</v>
      </c>
      <c r="H553" s="546">
        <v>15</v>
      </c>
      <c r="I553" s="312">
        <f t="shared" si="157"/>
        <v>8355</v>
      </c>
      <c r="J553" s="493">
        <f t="shared" si="144"/>
        <v>8355</v>
      </c>
    </row>
    <row r="554" spans="1:10" ht="15" x14ac:dyDescent="0.2">
      <c r="A554" s="337" t="s">
        <v>206</v>
      </c>
      <c r="B554" s="291">
        <v>211</v>
      </c>
      <c r="C554" s="291" t="s">
        <v>44</v>
      </c>
      <c r="D554" s="321">
        <f>40+70</f>
        <v>110</v>
      </c>
      <c r="E554" s="300">
        <v>0</v>
      </c>
      <c r="F554" s="313">
        <f t="shared" si="156"/>
        <v>0</v>
      </c>
      <c r="G554" s="322">
        <v>2</v>
      </c>
      <c r="H554" s="546">
        <f>10*6</f>
        <v>60</v>
      </c>
      <c r="I554" s="312">
        <f t="shared" si="157"/>
        <v>6600</v>
      </c>
      <c r="J554" s="493">
        <f t="shared" si="144"/>
        <v>6600</v>
      </c>
    </row>
    <row r="555" spans="1:10" ht="15" x14ac:dyDescent="0.2">
      <c r="A555" s="337" t="s">
        <v>65</v>
      </c>
      <c r="B555" s="291">
        <v>241</v>
      </c>
      <c r="C555" s="291" t="s">
        <v>49</v>
      </c>
      <c r="D555" s="321">
        <v>50</v>
      </c>
      <c r="E555" s="300">
        <v>0</v>
      </c>
      <c r="F555" s="313">
        <f t="shared" si="156"/>
        <v>0</v>
      </c>
      <c r="G555" s="322">
        <v>2</v>
      </c>
      <c r="H555" s="546">
        <v>1</v>
      </c>
      <c r="I555" s="312">
        <f t="shared" si="157"/>
        <v>50</v>
      </c>
      <c r="J555" s="493">
        <f t="shared" si="144"/>
        <v>50</v>
      </c>
    </row>
    <row r="556" spans="1:10" ht="15" x14ac:dyDescent="0.2">
      <c r="A556" s="337" t="s">
        <v>121</v>
      </c>
      <c r="B556" s="291">
        <v>262</v>
      </c>
      <c r="C556" s="291" t="s">
        <v>61</v>
      </c>
      <c r="D556" s="321">
        <v>36</v>
      </c>
      <c r="E556" s="314">
        <v>0</v>
      </c>
      <c r="F556" s="313">
        <f t="shared" si="156"/>
        <v>0</v>
      </c>
      <c r="G556" s="322">
        <v>2</v>
      </c>
      <c r="H556" s="546">
        <v>30</v>
      </c>
      <c r="I556" s="312">
        <f t="shared" si="157"/>
        <v>1080</v>
      </c>
      <c r="J556" s="493">
        <f t="shared" si="144"/>
        <v>1080</v>
      </c>
    </row>
    <row r="557" spans="1:10" ht="15" x14ac:dyDescent="0.2">
      <c r="A557" s="337" t="s">
        <v>84</v>
      </c>
      <c r="B557" s="291">
        <v>165</v>
      </c>
      <c r="C557" s="291" t="s">
        <v>44</v>
      </c>
      <c r="D557" s="321">
        <v>1500</v>
      </c>
      <c r="E557" s="314">
        <v>0</v>
      </c>
      <c r="F557" s="313">
        <f t="shared" si="156"/>
        <v>0</v>
      </c>
      <c r="G557" s="322">
        <v>2</v>
      </c>
      <c r="H557" s="546">
        <v>1</v>
      </c>
      <c r="I557" s="312">
        <f t="shared" si="157"/>
        <v>1500</v>
      </c>
      <c r="J557" s="493">
        <f t="shared" si="144"/>
        <v>1500</v>
      </c>
    </row>
    <row r="558" spans="1:10" ht="15" x14ac:dyDescent="0.2">
      <c r="A558" s="337" t="s">
        <v>207</v>
      </c>
      <c r="B558" s="291">
        <v>291</v>
      </c>
      <c r="C558" s="291" t="s">
        <v>44</v>
      </c>
      <c r="D558" s="321">
        <v>20</v>
      </c>
      <c r="E558" s="314">
        <v>0</v>
      </c>
      <c r="F558" s="313">
        <f t="shared" si="156"/>
        <v>0</v>
      </c>
      <c r="G558" s="322">
        <v>2</v>
      </c>
      <c r="H558" s="546">
        <v>2</v>
      </c>
      <c r="I558" s="312">
        <f t="shared" si="157"/>
        <v>40</v>
      </c>
      <c r="J558" s="493">
        <f t="shared" si="144"/>
        <v>40</v>
      </c>
    </row>
    <row r="559" spans="1:10" ht="15" x14ac:dyDescent="0.2">
      <c r="A559" s="337" t="s">
        <v>204</v>
      </c>
      <c r="B559" s="291">
        <v>267</v>
      </c>
      <c r="C559" s="291" t="s">
        <v>44</v>
      </c>
      <c r="D559" s="321">
        <v>350</v>
      </c>
      <c r="E559" s="314">
        <v>0</v>
      </c>
      <c r="F559" s="313">
        <f t="shared" si="156"/>
        <v>0</v>
      </c>
      <c r="G559" s="322">
        <v>2</v>
      </c>
      <c r="H559" s="311">
        <v>1</v>
      </c>
      <c r="I559" s="312">
        <f t="shared" si="157"/>
        <v>350</v>
      </c>
      <c r="J559" s="493">
        <f t="shared" si="144"/>
        <v>350</v>
      </c>
    </row>
    <row r="560" spans="1:10" ht="15.75" thickBot="1" x14ac:dyDescent="0.25">
      <c r="A560" s="684" t="s">
        <v>205</v>
      </c>
      <c r="B560" s="685">
        <v>141</v>
      </c>
      <c r="C560" s="685" t="s">
        <v>44</v>
      </c>
      <c r="D560" s="686">
        <v>1800</v>
      </c>
      <c r="E560" s="687">
        <v>0</v>
      </c>
      <c r="F560" s="688">
        <v>0</v>
      </c>
      <c r="G560" s="474">
        <v>2</v>
      </c>
      <c r="H560" s="689">
        <v>3</v>
      </c>
      <c r="I560" s="690">
        <f t="shared" si="157"/>
        <v>5400</v>
      </c>
      <c r="J560" s="690">
        <f>I560</f>
        <v>5400</v>
      </c>
    </row>
    <row r="561" spans="1:10" ht="36" customHeight="1" thickBot="1" x14ac:dyDescent="0.25">
      <c r="A561" s="579" t="s">
        <v>107</v>
      </c>
      <c r="B561" s="580"/>
      <c r="C561" s="580"/>
      <c r="D561" s="581"/>
      <c r="E561" s="582"/>
      <c r="F561" s="593">
        <f>F562+F591+F621</f>
        <v>200000</v>
      </c>
      <c r="G561" s="594"/>
      <c r="H561" s="595"/>
      <c r="I561" s="596">
        <f>I562+I591+I621</f>
        <v>1114577.7866666666</v>
      </c>
      <c r="J561" s="584">
        <f t="shared" si="144"/>
        <v>1314577.7866666666</v>
      </c>
    </row>
    <row r="562" spans="1:10" ht="16.5" thickBot="1" x14ac:dyDescent="0.25">
      <c r="A562" s="585" t="s">
        <v>97</v>
      </c>
      <c r="B562" s="585"/>
      <c r="C562" s="585"/>
      <c r="D562" s="586"/>
      <c r="E562" s="587"/>
      <c r="F562" s="588">
        <f>F564+F572+F576+F588</f>
        <v>0</v>
      </c>
      <c r="G562" s="589"/>
      <c r="H562" s="590"/>
      <c r="I562" s="591">
        <f>I564+I572+I576+I588</f>
        <v>193054.12</v>
      </c>
      <c r="J562" s="592">
        <f t="shared" si="144"/>
        <v>193054.12</v>
      </c>
    </row>
    <row r="563" spans="1:10" ht="16.5" thickBot="1" x14ac:dyDescent="0.25">
      <c r="A563" s="933" t="s">
        <v>233</v>
      </c>
      <c r="B563" s="934"/>
      <c r="C563" s="934"/>
      <c r="D563" s="422"/>
      <c r="E563" s="452"/>
      <c r="F563" s="380"/>
      <c r="G563" s="475"/>
      <c r="H563" s="578"/>
      <c r="I563" s="528"/>
      <c r="J563" s="498"/>
    </row>
    <row r="564" spans="1:10" ht="16.5" thickBot="1" x14ac:dyDescent="0.3">
      <c r="A564" s="904" t="str">
        <f>ADMON!D13</f>
        <v>6.1.1 Gestión y contratación del recurso humano necesario para el desarrollo de los diversos programas del PNSL.</v>
      </c>
      <c r="B564" s="905"/>
      <c r="C564" s="905"/>
      <c r="D564" s="391"/>
      <c r="E564" s="450"/>
      <c r="F564" s="519">
        <f>SUM(F565:F571)</f>
        <v>0</v>
      </c>
      <c r="G564" s="571"/>
      <c r="H564" s="571"/>
      <c r="I564" s="519">
        <f>SUM(I565:I571)</f>
        <v>34710.519999999997</v>
      </c>
      <c r="J564" s="519">
        <f t="shared" si="144"/>
        <v>34710.519999999997</v>
      </c>
    </row>
    <row r="565" spans="1:10" s="54" customFormat="1" ht="30" customHeight="1" x14ac:dyDescent="0.2">
      <c r="A565" s="337" t="s">
        <v>165</v>
      </c>
      <c r="B565" s="318" t="s">
        <v>170</v>
      </c>
      <c r="C565" s="291" t="s">
        <v>94</v>
      </c>
      <c r="D565" s="325">
        <f>11910.22/30</f>
        <v>397.00733333333329</v>
      </c>
      <c r="E565" s="303">
        <v>0</v>
      </c>
      <c r="F565" s="302">
        <f t="shared" ref="F565:F571" si="158">E565*D565</f>
        <v>0</v>
      </c>
      <c r="G565" s="322">
        <v>2</v>
      </c>
      <c r="H565" s="300">
        <v>30</v>
      </c>
      <c r="I565" s="310">
        <f t="shared" ref="I565:I571" si="159">D565*H565</f>
        <v>11910.22</v>
      </c>
      <c r="J565" s="513">
        <f t="shared" si="144"/>
        <v>11910.22</v>
      </c>
    </row>
    <row r="566" spans="1:10" s="55" customFormat="1" ht="15" x14ac:dyDescent="0.2">
      <c r="A566" s="337" t="s">
        <v>164</v>
      </c>
      <c r="B566" s="291" t="s">
        <v>170</v>
      </c>
      <c r="C566" s="291" t="s">
        <v>94</v>
      </c>
      <c r="D566" s="433">
        <f>12660.3/30</f>
        <v>422.01</v>
      </c>
      <c r="E566" s="303">
        <v>0</v>
      </c>
      <c r="F566" s="302">
        <f t="shared" si="158"/>
        <v>0</v>
      </c>
      <c r="G566" s="322">
        <v>2</v>
      </c>
      <c r="H566" s="300">
        <v>30</v>
      </c>
      <c r="I566" s="310">
        <f t="shared" si="159"/>
        <v>12660.3</v>
      </c>
      <c r="J566" s="513">
        <f t="shared" si="144"/>
        <v>12660.3</v>
      </c>
    </row>
    <row r="567" spans="1:10" s="55" customFormat="1" ht="15" x14ac:dyDescent="0.2">
      <c r="A567" s="337" t="s">
        <v>363</v>
      </c>
      <c r="B567" s="318" t="s">
        <v>170</v>
      </c>
      <c r="C567" s="291" t="s">
        <v>94</v>
      </c>
      <c r="D567" s="321">
        <f>6050/30</f>
        <v>201.66666666666666</v>
      </c>
      <c r="E567" s="303">
        <v>0</v>
      </c>
      <c r="F567" s="302">
        <f t="shared" si="158"/>
        <v>0</v>
      </c>
      <c r="G567" s="322">
        <v>2</v>
      </c>
      <c r="H567" s="300">
        <v>30</v>
      </c>
      <c r="I567" s="310">
        <f t="shared" si="159"/>
        <v>6050</v>
      </c>
      <c r="J567" s="513">
        <f t="shared" si="144"/>
        <v>6050</v>
      </c>
    </row>
    <row r="568" spans="1:10" s="54" customFormat="1" ht="15" x14ac:dyDescent="0.2">
      <c r="A568" s="337" t="s">
        <v>69</v>
      </c>
      <c r="B568" s="318" t="s">
        <v>171</v>
      </c>
      <c r="C568" s="291" t="s">
        <v>128</v>
      </c>
      <c r="D568" s="321">
        <v>100</v>
      </c>
      <c r="E568" s="303">
        <v>0</v>
      </c>
      <c r="F568" s="302">
        <f t="shared" si="158"/>
        <v>0</v>
      </c>
      <c r="G568" s="322">
        <v>2</v>
      </c>
      <c r="H568" s="300">
        <v>30</v>
      </c>
      <c r="I568" s="310">
        <f t="shared" si="159"/>
        <v>3000</v>
      </c>
      <c r="J568" s="513">
        <f t="shared" si="144"/>
        <v>3000</v>
      </c>
    </row>
    <row r="569" spans="1:10" s="55" customFormat="1" ht="15" x14ac:dyDescent="0.2">
      <c r="A569" s="337" t="s">
        <v>207</v>
      </c>
      <c r="B569" s="291">
        <v>291</v>
      </c>
      <c r="C569" s="291" t="s">
        <v>44</v>
      </c>
      <c r="D569" s="321">
        <v>450</v>
      </c>
      <c r="E569" s="303">
        <v>0</v>
      </c>
      <c r="F569" s="302">
        <f t="shared" si="158"/>
        <v>0</v>
      </c>
      <c r="G569" s="322">
        <v>2</v>
      </c>
      <c r="H569" s="547">
        <v>1</v>
      </c>
      <c r="I569" s="310">
        <f t="shared" si="159"/>
        <v>450</v>
      </c>
      <c r="J569" s="513">
        <f t="shared" si="144"/>
        <v>450</v>
      </c>
    </row>
    <row r="570" spans="1:10" s="55" customFormat="1" ht="15" x14ac:dyDescent="0.2">
      <c r="A570" s="337" t="s">
        <v>204</v>
      </c>
      <c r="B570" s="291">
        <v>267</v>
      </c>
      <c r="C570" s="291" t="s">
        <v>44</v>
      </c>
      <c r="D570" s="321">
        <v>70</v>
      </c>
      <c r="E570" s="303">
        <v>0</v>
      </c>
      <c r="F570" s="302">
        <f t="shared" si="158"/>
        <v>0</v>
      </c>
      <c r="G570" s="322">
        <v>2</v>
      </c>
      <c r="H570" s="300">
        <v>2</v>
      </c>
      <c r="I570" s="310">
        <f t="shared" si="159"/>
        <v>140</v>
      </c>
      <c r="J570" s="513">
        <f t="shared" ref="J570:J631" si="160">F570+I570</f>
        <v>140</v>
      </c>
    </row>
    <row r="571" spans="1:10" ht="15.75" thickBot="1" x14ac:dyDescent="0.25">
      <c r="A571" s="337" t="s">
        <v>206</v>
      </c>
      <c r="B571" s="291">
        <v>211</v>
      </c>
      <c r="C571" s="291" t="s">
        <v>44</v>
      </c>
      <c r="D571" s="321">
        <v>50</v>
      </c>
      <c r="E571" s="300">
        <v>0</v>
      </c>
      <c r="F571" s="302">
        <f t="shared" si="158"/>
        <v>0</v>
      </c>
      <c r="G571" s="322">
        <v>2</v>
      </c>
      <c r="H571" s="300">
        <v>10</v>
      </c>
      <c r="I571" s="310">
        <f t="shared" si="159"/>
        <v>500</v>
      </c>
      <c r="J571" s="513">
        <f t="shared" si="160"/>
        <v>500</v>
      </c>
    </row>
    <row r="572" spans="1:10" ht="31.9" customHeight="1" thickBot="1" x14ac:dyDescent="0.3">
      <c r="A572" s="904" t="str">
        <f>ADMON!D14</f>
        <v>6.1.2 Evaluación del desempeño del personal técnico-administrativo  idóneo, necesario para la buena coadministración del PNSL..</v>
      </c>
      <c r="B572" s="905"/>
      <c r="C572" s="905"/>
      <c r="D572" s="391"/>
      <c r="E572" s="450"/>
      <c r="F572" s="519">
        <f>SUM(F573:F575)</f>
        <v>0</v>
      </c>
      <c r="G572" s="571"/>
      <c r="H572" s="571"/>
      <c r="I572" s="519">
        <f>SUM(I573:I575)</f>
        <v>16663.599999999999</v>
      </c>
      <c r="J572" s="519">
        <f t="shared" si="160"/>
        <v>16663.599999999999</v>
      </c>
    </row>
    <row r="573" spans="1:10" ht="15" x14ac:dyDescent="0.2">
      <c r="A573" s="337" t="s">
        <v>34</v>
      </c>
      <c r="B573" s="291">
        <v>11</v>
      </c>
      <c r="C573" s="291" t="s">
        <v>94</v>
      </c>
      <c r="D573" s="325">
        <v>715</v>
      </c>
      <c r="E573" s="303">
        <v>0</v>
      </c>
      <c r="F573" s="302">
        <f t="shared" ref="F573:F575" si="161">E573*D573</f>
        <v>0</v>
      </c>
      <c r="G573" s="322">
        <v>2</v>
      </c>
      <c r="H573" s="300">
        <v>20</v>
      </c>
      <c r="I573" s="310">
        <f t="shared" ref="I573:I575" si="162">D573*H573</f>
        <v>14300</v>
      </c>
      <c r="J573" s="513">
        <f t="shared" si="160"/>
        <v>14300</v>
      </c>
    </row>
    <row r="574" spans="1:10" s="55" customFormat="1" ht="15" x14ac:dyDescent="0.2">
      <c r="A574" s="337" t="s">
        <v>165</v>
      </c>
      <c r="B574" s="318" t="s">
        <v>170</v>
      </c>
      <c r="C574" s="291" t="s">
        <v>94</v>
      </c>
      <c r="D574" s="325">
        <v>320.72000000000003</v>
      </c>
      <c r="E574" s="303">
        <v>0</v>
      </c>
      <c r="F574" s="302">
        <f t="shared" si="161"/>
        <v>0</v>
      </c>
      <c r="G574" s="322">
        <v>2</v>
      </c>
      <c r="H574" s="300">
        <v>5</v>
      </c>
      <c r="I574" s="310">
        <f t="shared" si="162"/>
        <v>1603.6000000000001</v>
      </c>
      <c r="J574" s="513">
        <f t="shared" si="160"/>
        <v>1603.6000000000001</v>
      </c>
    </row>
    <row r="575" spans="1:10" s="55" customFormat="1" ht="15.75" thickBot="1" x14ac:dyDescent="0.25">
      <c r="A575" s="337" t="s">
        <v>69</v>
      </c>
      <c r="B575" s="318" t="s">
        <v>171</v>
      </c>
      <c r="C575" s="291" t="s">
        <v>94</v>
      </c>
      <c r="D575" s="325">
        <v>152</v>
      </c>
      <c r="E575" s="303">
        <v>0</v>
      </c>
      <c r="F575" s="302">
        <f t="shared" si="161"/>
        <v>0</v>
      </c>
      <c r="G575" s="322">
        <v>2</v>
      </c>
      <c r="H575" s="300">
        <v>5</v>
      </c>
      <c r="I575" s="310">
        <f t="shared" si="162"/>
        <v>760</v>
      </c>
      <c r="J575" s="513">
        <f t="shared" si="160"/>
        <v>760</v>
      </c>
    </row>
    <row r="576" spans="1:10" ht="16.5" thickBot="1" x14ac:dyDescent="0.3">
      <c r="A576" s="904" t="str">
        <f>ADMON!D15</f>
        <v>6.2.1 Se facilita al menos tres (3) eventos de capacitación de procedimientos administrativos y políticas institucionales al personal del PNSL.</v>
      </c>
      <c r="B576" s="905"/>
      <c r="C576" s="905"/>
      <c r="D576" s="391"/>
      <c r="E576" s="450"/>
      <c r="F576" s="519">
        <f>SUM(F577:F580)</f>
        <v>0</v>
      </c>
      <c r="G576" s="571">
        <v>2</v>
      </c>
      <c r="H576" s="571"/>
      <c r="I576" s="519">
        <f>SUM(I577:I581)</f>
        <v>22180</v>
      </c>
      <c r="J576" s="519">
        <f t="shared" si="160"/>
        <v>22180</v>
      </c>
    </row>
    <row r="577" spans="1:10" ht="15" x14ac:dyDescent="0.2">
      <c r="A577" s="337" t="s">
        <v>34</v>
      </c>
      <c r="B577" s="318" t="s">
        <v>170</v>
      </c>
      <c r="C577" s="291" t="s">
        <v>94</v>
      </c>
      <c r="D577" s="325">
        <v>715</v>
      </c>
      <c r="E577" s="300">
        <v>0</v>
      </c>
      <c r="F577" s="302">
        <f t="shared" ref="F577:F581" si="163">E577*D577</f>
        <v>0</v>
      </c>
      <c r="G577" s="322">
        <v>2</v>
      </c>
      <c r="H577" s="300">
        <f>10</f>
        <v>10</v>
      </c>
      <c r="I577" s="310">
        <f t="shared" ref="I577:I580" si="164">D577*H577</f>
        <v>7150</v>
      </c>
      <c r="J577" s="513">
        <f t="shared" si="160"/>
        <v>7150</v>
      </c>
    </row>
    <row r="578" spans="1:10" ht="15" x14ac:dyDescent="0.2">
      <c r="A578" s="337" t="s">
        <v>177</v>
      </c>
      <c r="B578" s="318" t="s">
        <v>170</v>
      </c>
      <c r="C578" s="291" t="s">
        <v>94</v>
      </c>
      <c r="D578" s="325">
        <v>561</v>
      </c>
      <c r="E578" s="303">
        <v>0</v>
      </c>
      <c r="F578" s="302">
        <f t="shared" si="163"/>
        <v>0</v>
      </c>
      <c r="G578" s="322">
        <v>2</v>
      </c>
      <c r="H578" s="300">
        <v>10</v>
      </c>
      <c r="I578" s="310">
        <f t="shared" si="164"/>
        <v>5610</v>
      </c>
      <c r="J578" s="513">
        <f t="shared" si="160"/>
        <v>5610</v>
      </c>
    </row>
    <row r="579" spans="1:10" ht="15" x14ac:dyDescent="0.2">
      <c r="A579" s="337" t="s">
        <v>165</v>
      </c>
      <c r="B579" s="318" t="s">
        <v>170</v>
      </c>
      <c r="C579" s="291" t="s">
        <v>94</v>
      </c>
      <c r="D579" s="325">
        <v>320</v>
      </c>
      <c r="E579" s="303">
        <v>0</v>
      </c>
      <c r="F579" s="302">
        <f t="shared" si="163"/>
        <v>0</v>
      </c>
      <c r="G579" s="322">
        <v>2</v>
      </c>
      <c r="H579" s="300">
        <v>10</v>
      </c>
      <c r="I579" s="310">
        <f t="shared" si="164"/>
        <v>3200</v>
      </c>
      <c r="J579" s="513">
        <f t="shared" si="160"/>
        <v>3200</v>
      </c>
    </row>
    <row r="580" spans="1:10" ht="15" x14ac:dyDescent="0.2">
      <c r="A580" s="337" t="s">
        <v>166</v>
      </c>
      <c r="B580" s="318" t="s">
        <v>170</v>
      </c>
      <c r="C580" s="291" t="s">
        <v>128</v>
      </c>
      <c r="D580" s="325">
        <v>322</v>
      </c>
      <c r="E580" s="303">
        <v>0</v>
      </c>
      <c r="F580" s="302">
        <f t="shared" si="163"/>
        <v>0</v>
      </c>
      <c r="G580" s="322">
        <v>2</v>
      </c>
      <c r="H580" s="300">
        <v>10</v>
      </c>
      <c r="I580" s="310">
        <f t="shared" si="164"/>
        <v>3220</v>
      </c>
      <c r="J580" s="513">
        <f t="shared" si="160"/>
        <v>3220</v>
      </c>
    </row>
    <row r="581" spans="1:10" ht="15.75" thickBot="1" x14ac:dyDescent="0.25">
      <c r="A581" s="562" t="s">
        <v>203</v>
      </c>
      <c r="B581" s="691" t="s">
        <v>391</v>
      </c>
      <c r="C581" s="563" t="s">
        <v>28</v>
      </c>
      <c r="D581" s="671">
        <v>50</v>
      </c>
      <c r="E581" s="572">
        <v>0</v>
      </c>
      <c r="F581" s="692">
        <f t="shared" si="163"/>
        <v>0</v>
      </c>
      <c r="G581" s="474">
        <v>2</v>
      </c>
      <c r="H581" s="670">
        <f>20*3</f>
        <v>60</v>
      </c>
      <c r="I581" s="532">
        <f t="shared" ref="I581" si="165">D581*H581</f>
        <v>3000</v>
      </c>
      <c r="J581" s="726">
        <f t="shared" ref="J581" si="166">F581+I581</f>
        <v>3000</v>
      </c>
    </row>
    <row r="582" spans="1:10" ht="33.75" customHeight="1" thickBot="1" x14ac:dyDescent="0.3">
      <c r="A582" s="904" t="str">
        <f>ADMON!D16</f>
        <v>6.2.2  Se facilita al menos tres (3) eventos de  capacitación del personal técnico en diversas temáticas en el manejo de áreas protegidas,</v>
      </c>
      <c r="B582" s="905"/>
      <c r="C582" s="905"/>
      <c r="D582" s="727"/>
      <c r="E582" s="728">
        <v>0</v>
      </c>
      <c r="F582" s="729">
        <v>0</v>
      </c>
      <c r="G582" s="730">
        <v>2</v>
      </c>
      <c r="H582" s="731"/>
      <c r="I582" s="732">
        <f>SUM(I583:I587)</f>
        <v>22180</v>
      </c>
      <c r="J582" s="733">
        <f>I582</f>
        <v>22180</v>
      </c>
    </row>
    <row r="583" spans="1:10" ht="15" x14ac:dyDescent="0.2">
      <c r="A583" s="337" t="s">
        <v>34</v>
      </c>
      <c r="B583" s="318" t="s">
        <v>170</v>
      </c>
      <c r="C583" s="291" t="s">
        <v>94</v>
      </c>
      <c r="D583" s="325">
        <v>715</v>
      </c>
      <c r="E583" s="300">
        <v>0</v>
      </c>
      <c r="F583" s="302">
        <f t="shared" ref="F583:F587" si="167">E583*D583</f>
        <v>0</v>
      </c>
      <c r="G583" s="322">
        <v>2</v>
      </c>
      <c r="H583" s="300">
        <f>10</f>
        <v>10</v>
      </c>
      <c r="I583" s="310">
        <f t="shared" ref="I583:I587" si="168">D583*H583</f>
        <v>7150</v>
      </c>
      <c r="J583" s="513">
        <f t="shared" ref="J583:J587" si="169">F583+I583</f>
        <v>7150</v>
      </c>
    </row>
    <row r="584" spans="1:10" ht="15" x14ac:dyDescent="0.2">
      <c r="A584" s="337" t="s">
        <v>177</v>
      </c>
      <c r="B584" s="318" t="s">
        <v>170</v>
      </c>
      <c r="C584" s="291" t="s">
        <v>94</v>
      </c>
      <c r="D584" s="325">
        <v>561</v>
      </c>
      <c r="E584" s="303">
        <v>0</v>
      </c>
      <c r="F584" s="302">
        <f t="shared" si="167"/>
        <v>0</v>
      </c>
      <c r="G584" s="322">
        <v>2</v>
      </c>
      <c r="H584" s="300">
        <v>10</v>
      </c>
      <c r="I584" s="310">
        <f t="shared" si="168"/>
        <v>5610</v>
      </c>
      <c r="J584" s="513">
        <f t="shared" si="169"/>
        <v>5610</v>
      </c>
    </row>
    <row r="585" spans="1:10" ht="15" x14ac:dyDescent="0.2">
      <c r="A585" s="337" t="s">
        <v>165</v>
      </c>
      <c r="B585" s="318" t="s">
        <v>170</v>
      </c>
      <c r="C585" s="291" t="s">
        <v>94</v>
      </c>
      <c r="D585" s="325">
        <v>320</v>
      </c>
      <c r="E585" s="303">
        <v>0</v>
      </c>
      <c r="F585" s="302">
        <f t="shared" si="167"/>
        <v>0</v>
      </c>
      <c r="G585" s="322">
        <v>2</v>
      </c>
      <c r="H585" s="300">
        <v>10</v>
      </c>
      <c r="I585" s="310">
        <f t="shared" si="168"/>
        <v>3200</v>
      </c>
      <c r="J585" s="513">
        <f t="shared" si="169"/>
        <v>3200</v>
      </c>
    </row>
    <row r="586" spans="1:10" ht="15" x14ac:dyDescent="0.2">
      <c r="A586" s="337" t="s">
        <v>166</v>
      </c>
      <c r="B586" s="318" t="s">
        <v>170</v>
      </c>
      <c r="C586" s="291" t="s">
        <v>128</v>
      </c>
      <c r="D586" s="325">
        <v>322</v>
      </c>
      <c r="E586" s="303">
        <v>0</v>
      </c>
      <c r="F586" s="302">
        <f t="shared" si="167"/>
        <v>0</v>
      </c>
      <c r="G586" s="322">
        <v>2</v>
      </c>
      <c r="H586" s="300">
        <v>10</v>
      </c>
      <c r="I586" s="310">
        <f t="shared" si="168"/>
        <v>3220</v>
      </c>
      <c r="J586" s="513">
        <f t="shared" si="169"/>
        <v>3220</v>
      </c>
    </row>
    <row r="587" spans="1:10" ht="15.75" thickBot="1" x14ac:dyDescent="0.25">
      <c r="A587" s="562" t="s">
        <v>203</v>
      </c>
      <c r="B587" s="691" t="s">
        <v>391</v>
      </c>
      <c r="C587" s="563" t="s">
        <v>28</v>
      </c>
      <c r="D587" s="671">
        <v>50</v>
      </c>
      <c r="E587" s="572">
        <v>0</v>
      </c>
      <c r="F587" s="692">
        <f t="shared" si="167"/>
        <v>0</v>
      </c>
      <c r="G587" s="474">
        <v>2</v>
      </c>
      <c r="H587" s="670">
        <f>20*3</f>
        <v>60</v>
      </c>
      <c r="I587" s="310">
        <f t="shared" si="168"/>
        <v>3000</v>
      </c>
      <c r="J587" s="513">
        <f t="shared" si="169"/>
        <v>3000</v>
      </c>
    </row>
    <row r="588" spans="1:10" ht="16.5" thickBot="1" x14ac:dyDescent="0.3">
      <c r="A588" s="904" t="str">
        <f>ADMON!D17</f>
        <v>6.3.1 Se aplican las politicas  contractuales de FDN</v>
      </c>
      <c r="B588" s="905"/>
      <c r="C588" s="905"/>
      <c r="D588" s="391"/>
      <c r="E588" s="450"/>
      <c r="F588" s="519">
        <f>SUM(F589:F590)</f>
        <v>0</v>
      </c>
      <c r="G588" s="571"/>
      <c r="H588" s="571"/>
      <c r="I588" s="519">
        <f>SUM(I589:I590)</f>
        <v>119500</v>
      </c>
      <c r="J588" s="519">
        <f t="shared" si="160"/>
        <v>119500</v>
      </c>
    </row>
    <row r="589" spans="1:10" ht="15" x14ac:dyDescent="0.2">
      <c r="A589" s="337" t="s">
        <v>34</v>
      </c>
      <c r="B589" s="318" t="s">
        <v>170</v>
      </c>
      <c r="C589" s="291" t="s">
        <v>94</v>
      </c>
      <c r="D589" s="325">
        <v>715</v>
      </c>
      <c r="E589" s="303">
        <v>0</v>
      </c>
      <c r="F589" s="302">
        <f t="shared" ref="F589:F590" si="170">E589*D589</f>
        <v>0</v>
      </c>
      <c r="G589" s="322">
        <v>2</v>
      </c>
      <c r="H589" s="300">
        <f>10*10</f>
        <v>100</v>
      </c>
      <c r="I589" s="310">
        <f t="shared" ref="I589:I590" si="171">D589*H589</f>
        <v>71500</v>
      </c>
      <c r="J589" s="513">
        <f t="shared" si="160"/>
        <v>71500</v>
      </c>
    </row>
    <row r="590" spans="1:10" s="97" customFormat="1" ht="15.75" thickBot="1" x14ac:dyDescent="0.25">
      <c r="A590" s="337" t="s">
        <v>165</v>
      </c>
      <c r="B590" s="318" t="s">
        <v>170</v>
      </c>
      <c r="C590" s="291" t="s">
        <v>94</v>
      </c>
      <c r="D590" s="325">
        <v>320</v>
      </c>
      <c r="E590" s="303">
        <v>0</v>
      </c>
      <c r="F590" s="302">
        <f t="shared" si="170"/>
        <v>0</v>
      </c>
      <c r="G590" s="322">
        <v>2</v>
      </c>
      <c r="H590" s="300">
        <f>15*10</f>
        <v>150</v>
      </c>
      <c r="I590" s="310">
        <f t="shared" si="171"/>
        <v>48000</v>
      </c>
      <c r="J590" s="513">
        <f t="shared" si="160"/>
        <v>48000</v>
      </c>
    </row>
    <row r="591" spans="1:10" s="55" customFormat="1" ht="16.5" thickBot="1" x14ac:dyDescent="0.25">
      <c r="A591" s="585" t="s">
        <v>98</v>
      </c>
      <c r="B591" s="585"/>
      <c r="C591" s="585"/>
      <c r="D591" s="586"/>
      <c r="E591" s="587"/>
      <c r="F591" s="588">
        <f>F593+F602+F611</f>
        <v>200000</v>
      </c>
      <c r="G591" s="589"/>
      <c r="H591" s="590"/>
      <c r="I591" s="591">
        <f>I593+I602+I611</f>
        <v>655618</v>
      </c>
      <c r="J591" s="592">
        <f t="shared" si="160"/>
        <v>855618</v>
      </c>
    </row>
    <row r="592" spans="1:10" s="55" customFormat="1" ht="16.5" thickBot="1" x14ac:dyDescent="0.25">
      <c r="A592" s="933" t="s">
        <v>234</v>
      </c>
      <c r="B592" s="934"/>
      <c r="C592" s="934"/>
      <c r="D592" s="422"/>
      <c r="E592" s="452"/>
      <c r="F592" s="380"/>
      <c r="G592" s="475"/>
      <c r="H592" s="578"/>
      <c r="I592" s="528"/>
      <c r="J592" s="498"/>
    </row>
    <row r="593" spans="1:10" s="55" customFormat="1" ht="36" customHeight="1" thickBot="1" x14ac:dyDescent="0.3">
      <c r="A593" s="904" t="str">
        <f>ADMON!D27</f>
        <v>6.1.1.2 Mantenimiento de la infraestructura y equipamiento  básico para la operativización de al menos cinco (5) COI o puestos de control fijos o temporales en el PNSL,</v>
      </c>
      <c r="B593" s="905"/>
      <c r="C593" s="905"/>
      <c r="D593" s="391"/>
      <c r="E593" s="450"/>
      <c r="F593" s="519">
        <f>SUM(F594:F597)</f>
        <v>0</v>
      </c>
      <c r="G593" s="571"/>
      <c r="H593" s="571"/>
      <c r="I593" s="519">
        <f>SUM(I594:I601)</f>
        <v>144880</v>
      </c>
      <c r="J593" s="519">
        <f t="shared" si="160"/>
        <v>144880</v>
      </c>
    </row>
    <row r="594" spans="1:10" s="55" customFormat="1" ht="15" x14ac:dyDescent="0.2">
      <c r="A594" s="337" t="s">
        <v>34</v>
      </c>
      <c r="B594" s="291">
        <v>11</v>
      </c>
      <c r="C594" s="291" t="s">
        <v>94</v>
      </c>
      <c r="D594" s="434">
        <v>715</v>
      </c>
      <c r="E594" s="303">
        <v>0</v>
      </c>
      <c r="F594" s="302">
        <f t="shared" ref="F594:F597" si="172">E594*D594</f>
        <v>0</v>
      </c>
      <c r="G594" s="322">
        <v>2</v>
      </c>
      <c r="H594" s="300">
        <v>30</v>
      </c>
      <c r="I594" s="302">
        <f t="shared" ref="I594:I601" si="173">D594*H594</f>
        <v>21450</v>
      </c>
      <c r="J594" s="513">
        <f t="shared" si="160"/>
        <v>21450</v>
      </c>
    </row>
    <row r="595" spans="1:10" s="55" customFormat="1" ht="15" x14ac:dyDescent="0.2">
      <c r="A595" s="337" t="s">
        <v>164</v>
      </c>
      <c r="B595" s="318" t="s">
        <v>170</v>
      </c>
      <c r="C595" s="291" t="s">
        <v>94</v>
      </c>
      <c r="D595" s="434">
        <v>561</v>
      </c>
      <c r="E595" s="303">
        <v>0</v>
      </c>
      <c r="F595" s="302">
        <f t="shared" si="172"/>
        <v>0</v>
      </c>
      <c r="G595" s="322">
        <v>2</v>
      </c>
      <c r="H595" s="300">
        <v>30</v>
      </c>
      <c r="I595" s="302">
        <f t="shared" si="173"/>
        <v>16830</v>
      </c>
      <c r="J595" s="513">
        <f t="shared" si="160"/>
        <v>16830</v>
      </c>
    </row>
    <row r="596" spans="1:10" s="55" customFormat="1" ht="15" x14ac:dyDescent="0.2">
      <c r="A596" s="337" t="s">
        <v>211</v>
      </c>
      <c r="B596" s="318" t="s">
        <v>171</v>
      </c>
      <c r="C596" s="291" t="s">
        <v>94</v>
      </c>
      <c r="D596" s="434">
        <v>200</v>
      </c>
      <c r="E596" s="300">
        <v>0</v>
      </c>
      <c r="F596" s="302">
        <f t="shared" si="172"/>
        <v>0</v>
      </c>
      <c r="G596" s="322">
        <v>2</v>
      </c>
      <c r="H596" s="300">
        <v>30</v>
      </c>
      <c r="I596" s="302">
        <f t="shared" si="173"/>
        <v>6000</v>
      </c>
      <c r="J596" s="513">
        <f t="shared" si="160"/>
        <v>6000</v>
      </c>
    </row>
    <row r="597" spans="1:10" s="55" customFormat="1" ht="15" x14ac:dyDescent="0.2">
      <c r="A597" s="337" t="s">
        <v>165</v>
      </c>
      <c r="B597" s="318" t="s">
        <v>170</v>
      </c>
      <c r="C597" s="291" t="s">
        <v>94</v>
      </c>
      <c r="D597" s="678">
        <v>320</v>
      </c>
      <c r="E597" s="649">
        <v>0</v>
      </c>
      <c r="F597" s="678">
        <f t="shared" si="172"/>
        <v>0</v>
      </c>
      <c r="G597" s="651">
        <v>2</v>
      </c>
      <c r="H597" s="649">
        <v>30</v>
      </c>
      <c r="I597" s="678">
        <f t="shared" si="173"/>
        <v>9600</v>
      </c>
      <c r="J597" s="693">
        <f t="shared" si="160"/>
        <v>9600</v>
      </c>
    </row>
    <row r="598" spans="1:10" s="55" customFormat="1" ht="15" x14ac:dyDescent="0.2">
      <c r="A598" s="694" t="s">
        <v>395</v>
      </c>
      <c r="B598" s="291">
        <v>286</v>
      </c>
      <c r="C598" s="291" t="s">
        <v>44</v>
      </c>
      <c r="D598" s="650">
        <v>500</v>
      </c>
      <c r="E598" s="649">
        <v>0</v>
      </c>
      <c r="F598" s="650">
        <v>0</v>
      </c>
      <c r="G598" s="651">
        <v>2</v>
      </c>
      <c r="H598" s="649">
        <v>5</v>
      </c>
      <c r="I598" s="653">
        <f t="shared" si="173"/>
        <v>2500</v>
      </c>
      <c r="J598" s="693">
        <f t="shared" si="160"/>
        <v>2500</v>
      </c>
    </row>
    <row r="599" spans="1:10" s="55" customFormat="1" ht="15" x14ac:dyDescent="0.2">
      <c r="A599" s="674" t="s">
        <v>393</v>
      </c>
      <c r="B599" s="291">
        <v>297</v>
      </c>
      <c r="C599" s="291" t="s">
        <v>67</v>
      </c>
      <c r="D599" s="650">
        <v>15000</v>
      </c>
      <c r="E599" s="649">
        <v>0</v>
      </c>
      <c r="F599" s="650">
        <f>E599*D599</f>
        <v>0</v>
      </c>
      <c r="G599" s="651">
        <v>2</v>
      </c>
      <c r="H599" s="649">
        <v>5</v>
      </c>
      <c r="I599" s="653">
        <f t="shared" si="173"/>
        <v>75000</v>
      </c>
      <c r="J599" s="693">
        <f t="shared" si="160"/>
        <v>75000</v>
      </c>
    </row>
    <row r="600" spans="1:10" s="55" customFormat="1" ht="15" x14ac:dyDescent="0.2">
      <c r="A600" s="674" t="s">
        <v>394</v>
      </c>
      <c r="B600" s="291">
        <v>297</v>
      </c>
      <c r="C600" s="291" t="s">
        <v>67</v>
      </c>
      <c r="D600" s="650">
        <v>1200</v>
      </c>
      <c r="E600" s="649">
        <v>0</v>
      </c>
      <c r="F600" s="650">
        <f>E600*D600</f>
        <v>0</v>
      </c>
      <c r="G600" s="651">
        <v>2</v>
      </c>
      <c r="H600" s="649">
        <v>5</v>
      </c>
      <c r="I600" s="653">
        <f t="shared" si="173"/>
        <v>6000</v>
      </c>
      <c r="J600" s="693">
        <f t="shared" si="160"/>
        <v>6000</v>
      </c>
    </row>
    <row r="601" spans="1:10" s="55" customFormat="1" ht="15" x14ac:dyDescent="0.2">
      <c r="A601" s="674" t="s">
        <v>396</v>
      </c>
      <c r="B601" s="291">
        <v>268</v>
      </c>
      <c r="C601" s="291" t="s">
        <v>67</v>
      </c>
      <c r="D601" s="650">
        <v>1500</v>
      </c>
      <c r="E601" s="649">
        <v>0</v>
      </c>
      <c r="F601" s="650">
        <f>E601*D601</f>
        <v>0</v>
      </c>
      <c r="G601" s="651">
        <v>2</v>
      </c>
      <c r="H601" s="649">
        <v>5</v>
      </c>
      <c r="I601" s="653">
        <f t="shared" si="173"/>
        <v>7500</v>
      </c>
      <c r="J601" s="693">
        <f t="shared" si="160"/>
        <v>7500</v>
      </c>
    </row>
    <row r="602" spans="1:10" s="55" customFormat="1" ht="23.1" customHeight="1" thickBot="1" x14ac:dyDescent="0.3">
      <c r="A602" s="951" t="str">
        <f>ADMON!D28</f>
        <v>6.1.1.3  Mantenimiento a todo el equipo del PNSL, para su buen funcionamiento,</v>
      </c>
      <c r="B602" s="952"/>
      <c r="C602" s="952"/>
      <c r="D602" s="630"/>
      <c r="E602" s="675"/>
      <c r="F602" s="676">
        <f>SUM(F603:F610)</f>
        <v>200000</v>
      </c>
      <c r="G602" s="677"/>
      <c r="H602" s="677"/>
      <c r="I602" s="676">
        <f>SUM(I603:I610)</f>
        <v>160918</v>
      </c>
      <c r="J602" s="676">
        <f t="shared" si="160"/>
        <v>360918</v>
      </c>
    </row>
    <row r="603" spans="1:10" s="55" customFormat="1" ht="15" x14ac:dyDescent="0.2">
      <c r="A603" s="337" t="s">
        <v>34</v>
      </c>
      <c r="B603" s="291">
        <v>11</v>
      </c>
      <c r="C603" s="291" t="s">
        <v>94</v>
      </c>
      <c r="D603" s="325">
        <v>715</v>
      </c>
      <c r="E603" s="303">
        <v>0</v>
      </c>
      <c r="F603" s="302">
        <f t="shared" ref="F603:F610" si="174">E603*D603</f>
        <v>0</v>
      </c>
      <c r="G603" s="322">
        <v>2</v>
      </c>
      <c r="H603" s="300">
        <v>2</v>
      </c>
      <c r="I603" s="310">
        <f t="shared" ref="I603:I610" si="175">D603*H603</f>
        <v>1430</v>
      </c>
      <c r="J603" s="513">
        <f t="shared" si="160"/>
        <v>1430</v>
      </c>
    </row>
    <row r="604" spans="1:10" ht="15" x14ac:dyDescent="0.2">
      <c r="A604" s="337" t="s">
        <v>164</v>
      </c>
      <c r="B604" s="318" t="s">
        <v>170</v>
      </c>
      <c r="C604" s="291" t="s">
        <v>94</v>
      </c>
      <c r="D604" s="325">
        <v>397</v>
      </c>
      <c r="E604" s="303">
        <v>0</v>
      </c>
      <c r="F604" s="302">
        <f t="shared" si="174"/>
        <v>0</v>
      </c>
      <c r="G604" s="322">
        <v>2</v>
      </c>
      <c r="H604" s="300">
        <v>4</v>
      </c>
      <c r="I604" s="310">
        <f t="shared" si="175"/>
        <v>1588</v>
      </c>
      <c r="J604" s="513">
        <f t="shared" si="160"/>
        <v>1588</v>
      </c>
    </row>
    <row r="605" spans="1:10" ht="15" x14ac:dyDescent="0.2">
      <c r="A605" s="337" t="s">
        <v>165</v>
      </c>
      <c r="B605" s="318" t="s">
        <v>170</v>
      </c>
      <c r="C605" s="291" t="s">
        <v>94</v>
      </c>
      <c r="D605" s="325">
        <v>320</v>
      </c>
      <c r="E605" s="303">
        <v>0</v>
      </c>
      <c r="F605" s="302">
        <f t="shared" si="174"/>
        <v>0</v>
      </c>
      <c r="G605" s="322">
        <v>2</v>
      </c>
      <c r="H605" s="300">
        <v>20</v>
      </c>
      <c r="I605" s="310">
        <f t="shared" si="175"/>
        <v>6400</v>
      </c>
      <c r="J605" s="513">
        <f t="shared" si="160"/>
        <v>6400</v>
      </c>
    </row>
    <row r="606" spans="1:10" s="214" customFormat="1" ht="15" x14ac:dyDescent="0.2">
      <c r="A606" s="337" t="s">
        <v>69</v>
      </c>
      <c r="B606" s="318" t="s">
        <v>171</v>
      </c>
      <c r="C606" s="291" t="s">
        <v>94</v>
      </c>
      <c r="D606" s="321">
        <v>150</v>
      </c>
      <c r="E606" s="303">
        <v>0</v>
      </c>
      <c r="F606" s="302">
        <f t="shared" si="174"/>
        <v>0</v>
      </c>
      <c r="G606" s="322">
        <v>2</v>
      </c>
      <c r="H606" s="300">
        <v>30</v>
      </c>
      <c r="I606" s="310">
        <f t="shared" si="175"/>
        <v>4500</v>
      </c>
      <c r="J606" s="513">
        <f t="shared" si="160"/>
        <v>4500</v>
      </c>
    </row>
    <row r="607" spans="1:10" s="214" customFormat="1" ht="15" x14ac:dyDescent="0.2">
      <c r="A607" s="337" t="s">
        <v>400</v>
      </c>
      <c r="B607" s="318" t="s">
        <v>401</v>
      </c>
      <c r="C607" s="291" t="s">
        <v>44</v>
      </c>
      <c r="D607" s="321">
        <v>25000</v>
      </c>
      <c r="E607" s="303">
        <v>8</v>
      </c>
      <c r="F607" s="302">
        <f>D607*E607</f>
        <v>200000</v>
      </c>
      <c r="G607" s="322">
        <v>2</v>
      </c>
      <c r="H607" s="300">
        <v>0</v>
      </c>
      <c r="I607" s="310">
        <f t="shared" si="175"/>
        <v>0</v>
      </c>
      <c r="J607" s="513">
        <f t="shared" si="160"/>
        <v>200000</v>
      </c>
    </row>
    <row r="608" spans="1:10" ht="15" x14ac:dyDescent="0.2">
      <c r="A608" s="337" t="s">
        <v>84</v>
      </c>
      <c r="B608" s="291">
        <v>165</v>
      </c>
      <c r="C608" s="291" t="s">
        <v>44</v>
      </c>
      <c r="D608" s="321">
        <v>15000</v>
      </c>
      <c r="E608" s="303"/>
      <c r="F608" s="302">
        <f t="shared" si="174"/>
        <v>0</v>
      </c>
      <c r="G608" s="322">
        <v>1</v>
      </c>
      <c r="H608" s="300">
        <v>8</v>
      </c>
      <c r="I608" s="310">
        <f t="shared" si="175"/>
        <v>120000</v>
      </c>
      <c r="J608" s="513">
        <f t="shared" si="160"/>
        <v>120000</v>
      </c>
    </row>
    <row r="609" spans="1:10" s="54" customFormat="1" ht="15" x14ac:dyDescent="0.2">
      <c r="A609" s="337" t="s">
        <v>212</v>
      </c>
      <c r="B609" s="291">
        <v>165</v>
      </c>
      <c r="C609" s="291" t="s">
        <v>44</v>
      </c>
      <c r="D609" s="321">
        <v>3000</v>
      </c>
      <c r="E609" s="303">
        <v>0</v>
      </c>
      <c r="F609" s="302">
        <f t="shared" si="174"/>
        <v>0</v>
      </c>
      <c r="G609" s="322">
        <v>2</v>
      </c>
      <c r="H609" s="300">
        <v>1</v>
      </c>
      <c r="I609" s="310">
        <f t="shared" si="175"/>
        <v>3000</v>
      </c>
      <c r="J609" s="513">
        <f t="shared" si="160"/>
        <v>3000</v>
      </c>
    </row>
    <row r="610" spans="1:10" s="55" customFormat="1" ht="15.75" thickBot="1" x14ac:dyDescent="0.25">
      <c r="A610" s="337" t="s">
        <v>213</v>
      </c>
      <c r="B610" s="291">
        <v>165</v>
      </c>
      <c r="C610" s="291" t="s">
        <v>44</v>
      </c>
      <c r="D610" s="321">
        <v>1000</v>
      </c>
      <c r="E610" s="303">
        <v>0</v>
      </c>
      <c r="F610" s="302">
        <f t="shared" si="174"/>
        <v>0</v>
      </c>
      <c r="G610" s="322">
        <v>2</v>
      </c>
      <c r="H610" s="300">
        <v>24</v>
      </c>
      <c r="I610" s="310">
        <f t="shared" si="175"/>
        <v>24000</v>
      </c>
      <c r="J610" s="513">
        <f t="shared" si="160"/>
        <v>24000</v>
      </c>
    </row>
    <row r="611" spans="1:10" ht="15.75" x14ac:dyDescent="0.25">
      <c r="A611" s="949" t="str">
        <f>ADMON!D29</f>
        <v>6.1.1.4 Adquisición de equipo para la ejecución de los programas del PNSL</v>
      </c>
      <c r="B611" s="950"/>
      <c r="C611" s="950"/>
      <c r="D611" s="695"/>
      <c r="E611" s="696"/>
      <c r="F611" s="697">
        <f>SUM(F612:F613)</f>
        <v>0</v>
      </c>
      <c r="G611" s="698"/>
      <c r="H611" s="698"/>
      <c r="I611" s="697">
        <f>SUM(I612:I620)</f>
        <v>349820</v>
      </c>
      <c r="J611" s="697">
        <f t="shared" si="160"/>
        <v>349820</v>
      </c>
    </row>
    <row r="612" spans="1:10" ht="15" x14ac:dyDescent="0.2">
      <c r="A612" s="674" t="s">
        <v>34</v>
      </c>
      <c r="B612" s="291">
        <v>11</v>
      </c>
      <c r="C612" s="291" t="s">
        <v>94</v>
      </c>
      <c r="D612" s="648">
        <v>571</v>
      </c>
      <c r="E612" s="649">
        <v>0</v>
      </c>
      <c r="F612" s="678">
        <f>E612*D612</f>
        <v>0</v>
      </c>
      <c r="G612" s="651">
        <v>2</v>
      </c>
      <c r="H612" s="649">
        <v>20</v>
      </c>
      <c r="I612" s="653">
        <f t="shared" ref="I612:I614" si="176">D612*H612</f>
        <v>11420</v>
      </c>
      <c r="J612" s="693">
        <f t="shared" si="160"/>
        <v>11420</v>
      </c>
    </row>
    <row r="613" spans="1:10" ht="15" x14ac:dyDescent="0.2">
      <c r="A613" s="699" t="s">
        <v>165</v>
      </c>
      <c r="B613" s="700" t="s">
        <v>170</v>
      </c>
      <c r="C613" s="701" t="s">
        <v>94</v>
      </c>
      <c r="D613" s="702">
        <v>320</v>
      </c>
      <c r="E613" s="703">
        <v>0</v>
      </c>
      <c r="F613" s="704">
        <f>E613*D613</f>
        <v>0</v>
      </c>
      <c r="G613" s="651">
        <v>2</v>
      </c>
      <c r="H613" s="705">
        <v>20</v>
      </c>
      <c r="I613" s="704">
        <f t="shared" si="176"/>
        <v>6400</v>
      </c>
      <c r="J613" s="706">
        <f t="shared" si="160"/>
        <v>6400</v>
      </c>
    </row>
    <row r="614" spans="1:10" ht="15" x14ac:dyDescent="0.2">
      <c r="A614" s="674" t="s">
        <v>86</v>
      </c>
      <c r="B614" s="291">
        <v>233</v>
      </c>
      <c r="C614" s="291" t="s">
        <v>67</v>
      </c>
      <c r="D614" s="702">
        <v>500</v>
      </c>
      <c r="E614" s="703">
        <v>0</v>
      </c>
      <c r="F614" s="704" t="s">
        <v>390</v>
      </c>
      <c r="G614" s="651">
        <v>2</v>
      </c>
      <c r="H614" s="705">
        <v>45</v>
      </c>
      <c r="I614" s="704">
        <f t="shared" si="176"/>
        <v>22500</v>
      </c>
      <c r="J614" s="706">
        <f t="shared" ref="J614:J620" si="177">I614</f>
        <v>22500</v>
      </c>
    </row>
    <row r="615" spans="1:10" ht="15" x14ac:dyDescent="0.2">
      <c r="A615" s="674" t="s">
        <v>77</v>
      </c>
      <c r="B615" s="291">
        <v>294</v>
      </c>
      <c r="C615" s="291" t="s">
        <v>44</v>
      </c>
      <c r="D615" s="702">
        <v>900</v>
      </c>
      <c r="E615" s="703">
        <v>0</v>
      </c>
      <c r="F615" s="704" t="s">
        <v>390</v>
      </c>
      <c r="G615" s="651">
        <v>2</v>
      </c>
      <c r="H615" s="705">
        <v>10</v>
      </c>
      <c r="I615" s="704">
        <f>D615*H615</f>
        <v>9000</v>
      </c>
      <c r="J615" s="706">
        <f t="shared" si="177"/>
        <v>9000</v>
      </c>
    </row>
    <row r="616" spans="1:10" ht="15" x14ac:dyDescent="0.2">
      <c r="A616" s="674" t="s">
        <v>87</v>
      </c>
      <c r="B616" s="291">
        <v>294</v>
      </c>
      <c r="C616" s="291" t="s">
        <v>44</v>
      </c>
      <c r="D616" s="702">
        <v>250</v>
      </c>
      <c r="E616" s="703">
        <v>0</v>
      </c>
      <c r="F616" s="704" t="s">
        <v>390</v>
      </c>
      <c r="G616" s="651">
        <v>2</v>
      </c>
      <c r="H616" s="705">
        <v>42</v>
      </c>
      <c r="I616" s="704">
        <f>D616*H616</f>
        <v>10500</v>
      </c>
      <c r="J616" s="706">
        <f t="shared" si="177"/>
        <v>10500</v>
      </c>
    </row>
    <row r="617" spans="1:10" ht="15" x14ac:dyDescent="0.2">
      <c r="A617" s="674" t="s">
        <v>85</v>
      </c>
      <c r="B617" s="291">
        <v>325</v>
      </c>
      <c r="C617" s="291" t="s">
        <v>44</v>
      </c>
      <c r="D617" s="702">
        <v>200000</v>
      </c>
      <c r="E617" s="703">
        <v>0</v>
      </c>
      <c r="F617" s="704" t="s">
        <v>390</v>
      </c>
      <c r="G617" s="651">
        <v>2</v>
      </c>
      <c r="H617" s="705">
        <v>1</v>
      </c>
      <c r="I617" s="704">
        <f>D617*H617</f>
        <v>200000</v>
      </c>
      <c r="J617" s="706">
        <f t="shared" si="177"/>
        <v>200000</v>
      </c>
    </row>
    <row r="618" spans="1:10" ht="15" x14ac:dyDescent="0.2">
      <c r="A618" s="674" t="s">
        <v>214</v>
      </c>
      <c r="B618" s="291">
        <v>329</v>
      </c>
      <c r="C618" s="291" t="s">
        <v>44</v>
      </c>
      <c r="D618" s="702">
        <v>75000</v>
      </c>
      <c r="E618" s="703">
        <v>0</v>
      </c>
      <c r="F618" s="704">
        <v>0</v>
      </c>
      <c r="G618" s="651">
        <v>2</v>
      </c>
      <c r="H618" s="705">
        <v>1</v>
      </c>
      <c r="I618" s="704">
        <f>D618*H618</f>
        <v>75000</v>
      </c>
      <c r="J618" s="706">
        <f t="shared" si="177"/>
        <v>75000</v>
      </c>
    </row>
    <row r="619" spans="1:10" ht="15" x14ac:dyDescent="0.2">
      <c r="A619" s="699" t="s">
        <v>293</v>
      </c>
      <c r="B619" s="700" t="s">
        <v>399</v>
      </c>
      <c r="C619" s="701" t="s">
        <v>44</v>
      </c>
      <c r="D619" s="702">
        <v>5500</v>
      </c>
      <c r="E619" s="703">
        <v>0</v>
      </c>
      <c r="F619" s="704">
        <v>0</v>
      </c>
      <c r="G619" s="651">
        <v>2</v>
      </c>
      <c r="H619" s="705">
        <v>1</v>
      </c>
      <c r="I619" s="704">
        <f>D619*H619</f>
        <v>5500</v>
      </c>
      <c r="J619" s="706">
        <f t="shared" si="177"/>
        <v>5500</v>
      </c>
    </row>
    <row r="620" spans="1:10" ht="15" x14ac:dyDescent="0.2">
      <c r="A620" s="699" t="s">
        <v>397</v>
      </c>
      <c r="B620" s="700" t="s">
        <v>398</v>
      </c>
      <c r="C620" s="701" t="s">
        <v>44</v>
      </c>
      <c r="D620" s="702">
        <v>1900</v>
      </c>
      <c r="E620" s="703">
        <v>0</v>
      </c>
      <c r="F620" s="704" t="s">
        <v>390</v>
      </c>
      <c r="G620" s="651">
        <v>2</v>
      </c>
      <c r="H620" s="705">
        <v>5</v>
      </c>
      <c r="I620" s="704">
        <f>H620*D620</f>
        <v>9500</v>
      </c>
      <c r="J620" s="706">
        <f t="shared" si="177"/>
        <v>9500</v>
      </c>
    </row>
    <row r="621" spans="1:10" ht="15.95" customHeight="1" thickBot="1" x14ac:dyDescent="0.25">
      <c r="A621" s="640" t="s">
        <v>108</v>
      </c>
      <c r="B621" s="640"/>
      <c r="C621" s="640"/>
      <c r="D621" s="641"/>
      <c r="E621" s="642"/>
      <c r="F621" s="643">
        <f>F623+F627</f>
        <v>0</v>
      </c>
      <c r="G621" s="644"/>
      <c r="H621" s="645"/>
      <c r="I621" s="646">
        <f>I623+I627</f>
        <v>265905.66666666669</v>
      </c>
      <c r="J621" s="647">
        <f t="shared" si="160"/>
        <v>265905.66666666669</v>
      </c>
    </row>
    <row r="622" spans="1:10" ht="41.1" customHeight="1" thickBot="1" x14ac:dyDescent="0.25">
      <c r="A622" s="933" t="s">
        <v>235</v>
      </c>
      <c r="B622" s="934"/>
      <c r="C622" s="934"/>
      <c r="D622" s="422"/>
      <c r="E622" s="452"/>
      <c r="F622" s="380"/>
      <c r="G622" s="475"/>
      <c r="H622" s="578"/>
      <c r="I622" s="528"/>
      <c r="J622" s="498"/>
    </row>
    <row r="623" spans="1:10" ht="16.5" thickBot="1" x14ac:dyDescent="0.3">
      <c r="A623" s="904" t="str">
        <f>ADMON!B39</f>
        <v>6.2.1 Un sistema administrativo que apoye el desarrollo de las actividades de los demás programas de manejo del parque esta establecido y funcionando</v>
      </c>
      <c r="B623" s="905"/>
      <c r="C623" s="905"/>
      <c r="D623" s="391"/>
      <c r="E623" s="450"/>
      <c r="F623" s="519">
        <f>SUM(F624:F626)</f>
        <v>0</v>
      </c>
      <c r="G623" s="571"/>
      <c r="H623" s="571"/>
      <c r="I623" s="519">
        <f>SUM(I624:I626)</f>
        <v>219734</v>
      </c>
      <c r="J623" s="519">
        <f t="shared" si="160"/>
        <v>219734</v>
      </c>
    </row>
    <row r="624" spans="1:10" s="81" customFormat="1" ht="33.75" customHeight="1" x14ac:dyDescent="0.2">
      <c r="A624" s="337" t="s">
        <v>34</v>
      </c>
      <c r="B624" s="318" t="s">
        <v>170</v>
      </c>
      <c r="C624" s="291" t="s">
        <v>94</v>
      </c>
      <c r="D624" s="434">
        <v>715</v>
      </c>
      <c r="E624" s="303">
        <v>0</v>
      </c>
      <c r="F624" s="312">
        <f t="shared" ref="F624:F625" si="178">E624*D624</f>
        <v>0</v>
      </c>
      <c r="G624" s="322">
        <v>2</v>
      </c>
      <c r="H624" s="300">
        <f>365*0.4</f>
        <v>146</v>
      </c>
      <c r="I624" s="310">
        <f t="shared" ref="I624:I626" si="179">D624*H624</f>
        <v>104390</v>
      </c>
      <c r="J624" s="514">
        <f t="shared" si="160"/>
        <v>104390</v>
      </c>
    </row>
    <row r="625" spans="1:10" ht="12.75" customHeight="1" x14ac:dyDescent="0.2">
      <c r="A625" s="337" t="s">
        <v>165</v>
      </c>
      <c r="B625" s="318" t="s">
        <v>170</v>
      </c>
      <c r="C625" s="291" t="s">
        <v>94</v>
      </c>
      <c r="D625" s="434">
        <v>320</v>
      </c>
      <c r="E625" s="303">
        <v>0</v>
      </c>
      <c r="F625" s="312">
        <f t="shared" si="178"/>
        <v>0</v>
      </c>
      <c r="G625" s="322">
        <v>2</v>
      </c>
      <c r="H625" s="300">
        <f>365*0.9</f>
        <v>328.5</v>
      </c>
      <c r="I625" s="310">
        <f t="shared" si="179"/>
        <v>105120</v>
      </c>
      <c r="J625" s="514">
        <f t="shared" si="160"/>
        <v>105120</v>
      </c>
    </row>
    <row r="626" spans="1:10" ht="12.75" customHeight="1" thickBot="1" x14ac:dyDescent="0.25">
      <c r="A626" s="337" t="s">
        <v>65</v>
      </c>
      <c r="B626" s="291">
        <v>241</v>
      </c>
      <c r="C626" s="291" t="s">
        <v>49</v>
      </c>
      <c r="D626" s="434">
        <v>36</v>
      </c>
      <c r="E626" s="303">
        <v>100</v>
      </c>
      <c r="F626" s="312">
        <v>0</v>
      </c>
      <c r="G626" s="322">
        <v>2</v>
      </c>
      <c r="H626" s="300">
        <v>284</v>
      </c>
      <c r="I626" s="310">
        <f t="shared" si="179"/>
        <v>10224</v>
      </c>
      <c r="J626" s="514">
        <f t="shared" si="160"/>
        <v>10224</v>
      </c>
    </row>
    <row r="627" spans="1:10" ht="16.5" thickBot="1" x14ac:dyDescent="0.3">
      <c r="A627" s="904" t="str">
        <f>ADMON!B40</f>
        <v>6.2.2 Las normas, rutinas y procedimientos para la ejecucion de las actividades del manejo del parque esta claramente definidos</v>
      </c>
      <c r="B627" s="905"/>
      <c r="C627" s="905"/>
      <c r="D627" s="391"/>
      <c r="E627" s="450"/>
      <c r="F627" s="519">
        <f>SUM(F628:F631)</f>
        <v>0</v>
      </c>
      <c r="G627" s="571"/>
      <c r="H627" s="571"/>
      <c r="I627" s="519">
        <f>SUM(I628:I631)</f>
        <v>46171.666666666664</v>
      </c>
      <c r="J627" s="519">
        <f t="shared" si="160"/>
        <v>46171.666666666664</v>
      </c>
    </row>
    <row r="628" spans="1:10" ht="12.75" customHeight="1" x14ac:dyDescent="0.2">
      <c r="A628" s="337" t="s">
        <v>34</v>
      </c>
      <c r="B628" s="291">
        <v>11</v>
      </c>
      <c r="C628" s="291" t="s">
        <v>94</v>
      </c>
      <c r="D628" s="434">
        <v>715</v>
      </c>
      <c r="E628" s="303">
        <v>0</v>
      </c>
      <c r="F628" s="302">
        <f t="shared" ref="F628:F631" si="180">E628*D628</f>
        <v>0</v>
      </c>
      <c r="G628" s="322">
        <v>2</v>
      </c>
      <c r="H628" s="300">
        <v>5</v>
      </c>
      <c r="I628" s="310">
        <f t="shared" ref="I628:I631" si="181">D628*H628</f>
        <v>3575</v>
      </c>
      <c r="J628" s="513">
        <f t="shared" si="160"/>
        <v>3575</v>
      </c>
    </row>
    <row r="629" spans="1:10" ht="12.75" customHeight="1" x14ac:dyDescent="0.2">
      <c r="A629" s="337" t="s">
        <v>165</v>
      </c>
      <c r="B629" s="318" t="s">
        <v>170</v>
      </c>
      <c r="C629" s="291" t="s">
        <v>94</v>
      </c>
      <c r="D629" s="434">
        <v>320</v>
      </c>
      <c r="E629" s="303">
        <v>0</v>
      </c>
      <c r="F629" s="302">
        <f t="shared" si="180"/>
        <v>0</v>
      </c>
      <c r="G629" s="322">
        <v>2</v>
      </c>
      <c r="H629" s="300">
        <f>365*0.1</f>
        <v>36.5</v>
      </c>
      <c r="I629" s="310">
        <f t="shared" si="181"/>
        <v>11680</v>
      </c>
      <c r="J629" s="513">
        <f t="shared" si="160"/>
        <v>11680</v>
      </c>
    </row>
    <row r="630" spans="1:10" ht="15" x14ac:dyDescent="0.2">
      <c r="A630" s="337" t="s">
        <v>69</v>
      </c>
      <c r="B630" s="318" t="s">
        <v>171</v>
      </c>
      <c r="C630" s="291" t="s">
        <v>94</v>
      </c>
      <c r="D630" s="434">
        <f>2500/30</f>
        <v>83.333333333333329</v>
      </c>
      <c r="E630" s="300">
        <v>0</v>
      </c>
      <c r="F630" s="302">
        <f t="shared" si="180"/>
        <v>0</v>
      </c>
      <c r="G630" s="322">
        <v>2</v>
      </c>
      <c r="H630" s="300">
        <v>365</v>
      </c>
      <c r="I630" s="310">
        <f t="shared" si="181"/>
        <v>30416.666666666664</v>
      </c>
      <c r="J630" s="513">
        <f t="shared" si="160"/>
        <v>30416.666666666664</v>
      </c>
    </row>
    <row r="631" spans="1:10" ht="18.95" customHeight="1" x14ac:dyDescent="0.2">
      <c r="A631" s="337" t="s">
        <v>65</v>
      </c>
      <c r="B631" s="291">
        <v>241</v>
      </c>
      <c r="C631" s="291" t="s">
        <v>49</v>
      </c>
      <c r="D631" s="434">
        <v>50</v>
      </c>
      <c r="E631" s="300">
        <v>0</v>
      </c>
      <c r="F631" s="302">
        <f t="shared" si="180"/>
        <v>0</v>
      </c>
      <c r="G631" s="322">
        <v>2</v>
      </c>
      <c r="H631" s="300">
        <v>10</v>
      </c>
      <c r="I631" s="310">
        <f t="shared" si="181"/>
        <v>500</v>
      </c>
      <c r="J631" s="513">
        <f t="shared" si="160"/>
        <v>500</v>
      </c>
    </row>
    <row r="632" spans="1:10" ht="15.75" x14ac:dyDescent="0.25">
      <c r="A632" s="344" t="s">
        <v>88</v>
      </c>
      <c r="B632" s="291"/>
      <c r="C632" s="291"/>
      <c r="D632" s="321"/>
      <c r="E632" s="300"/>
      <c r="F632" s="301"/>
      <c r="G632" s="322"/>
      <c r="H632" s="300"/>
      <c r="I632" s="310"/>
      <c r="J632" s="481"/>
    </row>
    <row r="633" spans="1:10" ht="21" thickBot="1" x14ac:dyDescent="0.35">
      <c r="A633" s="345"/>
      <c r="B633" s="346"/>
      <c r="C633" s="347"/>
      <c r="D633" s="435"/>
      <c r="E633" s="316"/>
      <c r="F633" s="317">
        <f>+B649</f>
        <v>2608957</v>
      </c>
      <c r="G633" s="470"/>
      <c r="H633" s="316"/>
      <c r="I633" s="548">
        <f>+C649</f>
        <v>6571200.4539999999</v>
      </c>
      <c r="J633" s="515">
        <f>SUM(F633:I633)</f>
        <v>9180157.4539999999</v>
      </c>
    </row>
    <row r="634" spans="1:10" ht="15.75" x14ac:dyDescent="0.25">
      <c r="A634" s="335" t="s">
        <v>89</v>
      </c>
      <c r="B634" s="336"/>
      <c r="C634" s="336"/>
      <c r="D634" s="183"/>
      <c r="E634" s="292"/>
      <c r="F634" s="293"/>
      <c r="G634" s="1"/>
      <c r="H634" s="144"/>
      <c r="I634" s="151"/>
      <c r="J634" s="140"/>
    </row>
    <row r="635" spans="1:10" ht="13.5" thickBot="1" x14ac:dyDescent="0.25">
      <c r="A635" s="36"/>
      <c r="B635" s="61"/>
      <c r="C635" s="61"/>
      <c r="D635" s="182"/>
      <c r="E635" s="294"/>
      <c r="F635" s="295"/>
      <c r="G635" s="1"/>
      <c r="H635" s="144"/>
      <c r="I635" s="151"/>
      <c r="J635" s="140"/>
    </row>
    <row r="636" spans="1:10" ht="16.5" thickBot="1" x14ac:dyDescent="0.3">
      <c r="A636" s="941" t="s">
        <v>90</v>
      </c>
      <c r="B636" s="942"/>
      <c r="C636" s="74"/>
    </row>
    <row r="637" spans="1:10" x14ac:dyDescent="0.2">
      <c r="A637" s="75" t="s">
        <v>92</v>
      </c>
      <c r="B637" s="77">
        <v>1</v>
      </c>
    </row>
    <row r="638" spans="1:10" ht="13.5" thickBot="1" x14ac:dyDescent="0.25">
      <c r="A638" s="184" t="s">
        <v>91</v>
      </c>
      <c r="B638" s="76">
        <v>2</v>
      </c>
    </row>
    <row r="640" spans="1:10" ht="13.5" thickBot="1" x14ac:dyDescent="0.25">
      <c r="G640" s="82"/>
      <c r="I640" s="152"/>
    </row>
    <row r="641" spans="1:10" ht="15.75" x14ac:dyDescent="0.2">
      <c r="A641" s="210" t="s">
        <v>70</v>
      </c>
      <c r="B641" s="211"/>
      <c r="C641" s="211"/>
      <c r="D641" s="212"/>
      <c r="E641" s="296"/>
      <c r="F641" s="297"/>
      <c r="G641" s="80"/>
      <c r="H641" s="145"/>
      <c r="I641" s="153"/>
      <c r="J641" s="149"/>
    </row>
    <row r="642" spans="1:10" ht="47.25" x14ac:dyDescent="0.2">
      <c r="A642" s="205"/>
      <c r="B642" s="341" t="s">
        <v>92</v>
      </c>
      <c r="C642" s="341" t="s">
        <v>145</v>
      </c>
      <c r="D642" s="204" t="s">
        <v>114</v>
      </c>
      <c r="E642" s="298"/>
      <c r="G642" s="79"/>
      <c r="H642" s="146"/>
    </row>
    <row r="643" spans="1:10" ht="15.75" x14ac:dyDescent="0.2">
      <c r="A643" s="206" t="s">
        <v>115</v>
      </c>
      <c r="B643" s="207">
        <f>F5</f>
        <v>2390477</v>
      </c>
      <c r="C643" s="208">
        <f>+I5</f>
        <v>1488728.1</v>
      </c>
      <c r="D643" s="209">
        <f t="shared" ref="D643:D648" si="182">C643+B643</f>
        <v>3879205.1</v>
      </c>
      <c r="E643" s="298"/>
      <c r="G643" s="79"/>
      <c r="H643" s="146"/>
      <c r="J643"/>
    </row>
    <row r="644" spans="1:10" ht="15.75" x14ac:dyDescent="0.2">
      <c r="A644" s="206" t="s">
        <v>118</v>
      </c>
      <c r="B644" s="207">
        <f>F220</f>
        <v>0</v>
      </c>
      <c r="C644" s="208">
        <f>+I220</f>
        <v>292419.5</v>
      </c>
      <c r="D644" s="209">
        <f t="shared" si="182"/>
        <v>292419.5</v>
      </c>
      <c r="E644" s="298"/>
      <c r="G644" s="79"/>
      <c r="H644" s="146"/>
      <c r="J644"/>
    </row>
    <row r="645" spans="1:10" ht="15.75" x14ac:dyDescent="0.2">
      <c r="A645" s="206" t="s">
        <v>116</v>
      </c>
      <c r="B645" s="207">
        <f>+F240</f>
        <v>18480</v>
      </c>
      <c r="C645" s="208">
        <f>+I240</f>
        <v>427549</v>
      </c>
      <c r="D645" s="209">
        <f t="shared" si="182"/>
        <v>446029</v>
      </c>
      <c r="E645" s="298"/>
      <c r="G645" s="79"/>
      <c r="H645" s="146"/>
      <c r="J645"/>
    </row>
    <row r="646" spans="1:10" ht="15.75" x14ac:dyDescent="0.2">
      <c r="A646" s="206" t="s">
        <v>119</v>
      </c>
      <c r="B646" s="207">
        <f>F267</f>
        <v>0</v>
      </c>
      <c r="C646" s="208">
        <f>+I267</f>
        <v>2680801.9473333335</v>
      </c>
      <c r="D646" s="209">
        <f t="shared" si="182"/>
        <v>2680801.9473333335</v>
      </c>
      <c r="E646" s="298"/>
      <c r="F646" s="299"/>
      <c r="G646" s="79"/>
      <c r="H646" s="146"/>
      <c r="I646" s="154"/>
      <c r="J646"/>
    </row>
    <row r="647" spans="1:10" ht="15.75" x14ac:dyDescent="0.2">
      <c r="A647" s="206" t="s">
        <v>120</v>
      </c>
      <c r="B647" s="207">
        <f>F510</f>
        <v>0</v>
      </c>
      <c r="C647" s="208">
        <f>I510</f>
        <v>567124.12</v>
      </c>
      <c r="D647" s="209">
        <f t="shared" si="182"/>
        <v>567124.12</v>
      </c>
      <c r="E647" s="298"/>
      <c r="F647" s="299"/>
      <c r="G647" s="79"/>
      <c r="H647" s="146"/>
      <c r="I647"/>
      <c r="J647"/>
    </row>
    <row r="648" spans="1:10" ht="16.5" thickBot="1" x14ac:dyDescent="0.25">
      <c r="A648" s="247" t="s">
        <v>117</v>
      </c>
      <c r="B648" s="248">
        <f>F561</f>
        <v>200000</v>
      </c>
      <c r="C648" s="248">
        <f>I561</f>
        <v>1114577.7866666666</v>
      </c>
      <c r="D648" s="249">
        <f t="shared" si="182"/>
        <v>1314577.7866666666</v>
      </c>
      <c r="E648" s="298"/>
      <c r="F648" s="299"/>
      <c r="G648" s="78"/>
      <c r="H648" s="146"/>
      <c r="I648" s="154"/>
      <c r="J648"/>
    </row>
    <row r="649" spans="1:10" ht="21" thickBot="1" x14ac:dyDescent="0.35">
      <c r="A649" s="250" t="s">
        <v>13</v>
      </c>
      <c r="B649" s="251">
        <f>SUM(B643:B648)</f>
        <v>2608957</v>
      </c>
      <c r="C649" s="252">
        <f>SUM(C643:C648)</f>
        <v>6571200.4539999999</v>
      </c>
      <c r="D649" s="253">
        <f>SUM(D643:D648)</f>
        <v>9180157.4539999999</v>
      </c>
    </row>
    <row r="654" spans="1:10" x14ac:dyDescent="0.2">
      <c r="C654" s="256"/>
    </row>
  </sheetData>
  <mergeCells count="91">
    <mergeCell ref="A121:C121"/>
    <mergeCell ref="A176:C176"/>
    <mergeCell ref="A238:C238"/>
    <mergeCell ref="A243:C243"/>
    <mergeCell ref="A214:C214"/>
    <mergeCell ref="A242:C242"/>
    <mergeCell ref="A140:C140"/>
    <mergeCell ref="A500:C500"/>
    <mergeCell ref="A379:C379"/>
    <mergeCell ref="A472:C472"/>
    <mergeCell ref="A479:C479"/>
    <mergeCell ref="A485:C485"/>
    <mergeCell ref="A396:C396"/>
    <mergeCell ref="A403:C403"/>
    <mergeCell ref="A435:C435"/>
    <mergeCell ref="A443:C443"/>
    <mergeCell ref="A390:C390"/>
    <mergeCell ref="A408:C408"/>
    <mergeCell ref="A419:C419"/>
    <mergeCell ref="A429:C429"/>
    <mergeCell ref="A463:C463"/>
    <mergeCell ref="A492:C492"/>
    <mergeCell ref="A452:C452"/>
    <mergeCell ref="A280:C280"/>
    <mergeCell ref="A247:C247"/>
    <mergeCell ref="A330:C330"/>
    <mergeCell ref="A256:C256"/>
    <mergeCell ref="A308:C308"/>
    <mergeCell ref="A356:C356"/>
    <mergeCell ref="A636:B636"/>
    <mergeCell ref="A222:C222"/>
    <mergeCell ref="A622:C622"/>
    <mergeCell ref="A223:C223"/>
    <mergeCell ref="A269:C269"/>
    <mergeCell ref="A270:C270"/>
    <mergeCell ref="A370:C370"/>
    <mergeCell ref="A627:C627"/>
    <mergeCell ref="A611:C611"/>
    <mergeCell ref="A623:C623"/>
    <mergeCell ref="A602:C602"/>
    <mergeCell ref="A551:C551"/>
    <mergeCell ref="A303:C303"/>
    <mergeCell ref="A505:C505"/>
    <mergeCell ref="A371:C371"/>
    <mergeCell ref="A593:C593"/>
    <mergeCell ref="A512:C512"/>
    <mergeCell ref="A592:C592"/>
    <mergeCell ref="A588:C588"/>
    <mergeCell ref="A572:C572"/>
    <mergeCell ref="A576:C576"/>
    <mergeCell ref="A513:C513"/>
    <mergeCell ref="A537:C537"/>
    <mergeCell ref="A563:C563"/>
    <mergeCell ref="A564:C564"/>
    <mergeCell ref="A582:C582"/>
    <mergeCell ref="A523:C523"/>
    <mergeCell ref="A546:C546"/>
    <mergeCell ref="A529:C529"/>
    <mergeCell ref="A538:C538"/>
    <mergeCell ref="A1:J1"/>
    <mergeCell ref="A2:J2"/>
    <mergeCell ref="D3:D4"/>
    <mergeCell ref="G3:G4"/>
    <mergeCell ref="A170:C170"/>
    <mergeCell ref="A137:C137"/>
    <mergeCell ref="E3:F3"/>
    <mergeCell ref="H3:I3"/>
    <mergeCell ref="A8:C8"/>
    <mergeCell ref="A17:C17"/>
    <mergeCell ref="A91:C91"/>
    <mergeCell ref="A7:C7"/>
    <mergeCell ref="A29:C29"/>
    <mergeCell ref="A157:C157"/>
    <mergeCell ref="A149:C149"/>
    <mergeCell ref="A120:C120"/>
    <mergeCell ref="A386:C386"/>
    <mergeCell ref="A105:C105"/>
    <mergeCell ref="A114:C114"/>
    <mergeCell ref="A98:C98"/>
    <mergeCell ref="A3:A4"/>
    <mergeCell ref="B3:B4"/>
    <mergeCell ref="C3:C4"/>
    <mergeCell ref="A55:C55"/>
    <mergeCell ref="A79:C79"/>
    <mergeCell ref="A103:C103"/>
    <mergeCell ref="A208:C208"/>
    <mergeCell ref="A321:C321"/>
    <mergeCell ref="A344:C344"/>
    <mergeCell ref="A143:C143"/>
    <mergeCell ref="A84:C84"/>
    <mergeCell ref="A68:C68"/>
  </mergeCells>
  <pageMargins left="0.74803149606299213" right="0.94488188976377963" top="0.98425196850393704" bottom="0.98425196850393704" header="0" footer="0"/>
  <pageSetup paperSize="119" scale="46" fitToHeight="0" orientation="landscape" verticalDpi="300" r:id="rId1"/>
  <headerFooter alignWithMargins="0"/>
  <ignoredErrors>
    <ignoredError sqref="I17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zoomScale="120" zoomScaleNormal="120" workbookViewId="0">
      <selection activeCell="E21" sqref="A1:E21"/>
    </sheetView>
  </sheetViews>
  <sheetFormatPr baseColWidth="10" defaultRowHeight="12.75" x14ac:dyDescent="0.2"/>
  <cols>
    <col min="1" max="1" width="62" bestFit="1" customWidth="1"/>
    <col min="2" max="2" width="15.5703125" style="19" customWidth="1"/>
    <col min="3" max="3" width="12.42578125" customWidth="1"/>
    <col min="4" max="4" width="11" style="82" bestFit="1" customWidth="1"/>
    <col min="214" max="214" width="37.42578125" customWidth="1"/>
    <col min="215" max="215" width="17.85546875" bestFit="1" customWidth="1"/>
    <col min="216" max="216" width="13.140625" bestFit="1" customWidth="1"/>
    <col min="217" max="217" width="17.85546875" bestFit="1" customWidth="1"/>
    <col min="218" max="218" width="12.140625" customWidth="1"/>
    <col min="219" max="219" width="11.42578125" bestFit="1" customWidth="1"/>
    <col min="220" max="220" width="5.140625" customWidth="1"/>
    <col min="221" max="221" width="12.28515625" customWidth="1"/>
    <col min="222" max="222" width="11.42578125" bestFit="1" customWidth="1"/>
    <col min="223" max="223" width="15" customWidth="1"/>
    <col min="226" max="226" width="19.7109375" customWidth="1"/>
    <col min="227" max="227" width="22.85546875" customWidth="1"/>
  </cols>
  <sheetData>
    <row r="1" spans="1:6" ht="49.5" customHeight="1" x14ac:dyDescent="0.2">
      <c r="A1" s="621" t="s">
        <v>22</v>
      </c>
      <c r="B1" s="622" t="s">
        <v>24</v>
      </c>
      <c r="C1" s="622" t="s">
        <v>30</v>
      </c>
      <c r="D1" s="622" t="s">
        <v>60</v>
      </c>
      <c r="E1" s="1"/>
      <c r="F1" s="1"/>
    </row>
    <row r="2" spans="1:6" s="54" customFormat="1" ht="13.5" customHeight="1" x14ac:dyDescent="0.2">
      <c r="A2" s="720" t="s">
        <v>34</v>
      </c>
      <c r="B2" s="179" t="s">
        <v>170</v>
      </c>
      <c r="C2" s="45" t="s">
        <v>94</v>
      </c>
      <c r="D2" s="271">
        <v>720.83333333333337</v>
      </c>
    </row>
    <row r="3" spans="1:6" s="55" customFormat="1" x14ac:dyDescent="0.2">
      <c r="A3" s="269" t="s">
        <v>164</v>
      </c>
      <c r="B3" s="179" t="s">
        <v>170</v>
      </c>
      <c r="C3" s="45" t="s">
        <v>94</v>
      </c>
      <c r="D3" s="271">
        <f>16842.31/30</f>
        <v>561.41033333333337</v>
      </c>
    </row>
    <row r="4" spans="1:6" s="55" customFormat="1" x14ac:dyDescent="0.2">
      <c r="A4" s="255" t="s">
        <v>220</v>
      </c>
      <c r="B4" s="179" t="s">
        <v>170</v>
      </c>
      <c r="C4" s="45" t="s">
        <v>94</v>
      </c>
      <c r="D4" s="271">
        <f>5740/30</f>
        <v>191.33333333333334</v>
      </c>
    </row>
    <row r="5" spans="1:6" s="55" customFormat="1" x14ac:dyDescent="0.2">
      <c r="A5" s="255" t="s">
        <v>221</v>
      </c>
      <c r="B5" s="179" t="s">
        <v>170</v>
      </c>
      <c r="C5" s="45" t="s">
        <v>94</v>
      </c>
      <c r="D5" s="271">
        <f>5740/30</f>
        <v>191.33333333333334</v>
      </c>
    </row>
    <row r="6" spans="1:6" s="55" customFormat="1" x14ac:dyDescent="0.2">
      <c r="A6" s="255" t="s">
        <v>223</v>
      </c>
      <c r="B6" s="179" t="s">
        <v>170</v>
      </c>
      <c r="C6" s="203" t="s">
        <v>94</v>
      </c>
      <c r="D6" s="271">
        <f>3340/30</f>
        <v>111.33333333333333</v>
      </c>
    </row>
    <row r="7" spans="1:6" s="55" customFormat="1" x14ac:dyDescent="0.2">
      <c r="A7" s="269" t="s">
        <v>375</v>
      </c>
      <c r="B7" s="179" t="s">
        <v>170</v>
      </c>
      <c r="C7" s="625" t="s">
        <v>94</v>
      </c>
      <c r="D7" s="271">
        <f>3340/30</f>
        <v>111.33333333333333</v>
      </c>
    </row>
    <row r="8" spans="1:6" s="55" customFormat="1" x14ac:dyDescent="0.2">
      <c r="A8" s="721" t="s">
        <v>165</v>
      </c>
      <c r="B8" s="179" t="s">
        <v>170</v>
      </c>
      <c r="C8" s="45" t="s">
        <v>94</v>
      </c>
      <c r="D8" s="271">
        <f>9753/30</f>
        <v>325.10000000000002</v>
      </c>
      <c r="E8" s="89"/>
    </row>
    <row r="9" spans="1:6" s="55" customFormat="1" x14ac:dyDescent="0.2">
      <c r="A9" s="721" t="s">
        <v>69</v>
      </c>
      <c r="B9" s="179" t="s">
        <v>170</v>
      </c>
      <c r="C9" s="45" t="s">
        <v>94</v>
      </c>
      <c r="D9" s="271">
        <f>3000/30</f>
        <v>100</v>
      </c>
      <c r="E9" s="89"/>
    </row>
    <row r="10" spans="1:6" s="55" customFormat="1" x14ac:dyDescent="0.2">
      <c r="A10" s="721" t="s">
        <v>499</v>
      </c>
      <c r="B10" s="179" t="s">
        <v>171</v>
      </c>
      <c r="C10" s="45" t="s">
        <v>94</v>
      </c>
      <c r="D10" s="271"/>
      <c r="E10" s="89"/>
    </row>
    <row r="11" spans="1:6" s="55" customFormat="1" x14ac:dyDescent="0.2">
      <c r="A11" s="721" t="s">
        <v>82</v>
      </c>
      <c r="B11" s="179" t="s">
        <v>171</v>
      </c>
      <c r="C11" s="45" t="s">
        <v>94</v>
      </c>
      <c r="D11" s="271">
        <f>3634.15/30</f>
        <v>121.13833333333334</v>
      </c>
    </row>
    <row r="12" spans="1:6" s="55" customFormat="1" x14ac:dyDescent="0.2">
      <c r="A12" s="721" t="s">
        <v>500</v>
      </c>
      <c r="B12" s="179" t="s">
        <v>170</v>
      </c>
      <c r="C12" s="45" t="s">
        <v>94</v>
      </c>
      <c r="D12" s="271">
        <f>9664/30</f>
        <v>322.13333333333333</v>
      </c>
    </row>
    <row r="13" spans="1:6" s="55" customFormat="1" x14ac:dyDescent="0.2">
      <c r="A13" s="721" t="s">
        <v>224</v>
      </c>
      <c r="B13" s="179" t="s">
        <v>170</v>
      </c>
      <c r="C13" s="45" t="s">
        <v>94</v>
      </c>
      <c r="D13" s="271">
        <f>5593.5/30</f>
        <v>186.45</v>
      </c>
    </row>
    <row r="14" spans="1:6" s="55" customFormat="1" x14ac:dyDescent="0.2">
      <c r="A14" s="721" t="s">
        <v>376</v>
      </c>
      <c r="B14" s="179" t="s">
        <v>171</v>
      </c>
      <c r="C14" s="45" t="s">
        <v>94</v>
      </c>
      <c r="D14" s="271">
        <f>14240/30</f>
        <v>474.66666666666669</v>
      </c>
    </row>
    <row r="15" spans="1:6" s="55" customFormat="1" x14ac:dyDescent="0.2">
      <c r="A15" s="721" t="s">
        <v>377</v>
      </c>
      <c r="B15" s="179" t="s">
        <v>170</v>
      </c>
      <c r="C15" s="45" t="s">
        <v>94</v>
      </c>
      <c r="D15" s="271">
        <f>5240/30</f>
        <v>174.66666666666666</v>
      </c>
    </row>
    <row r="16" spans="1:6" s="55" customFormat="1" x14ac:dyDescent="0.2">
      <c r="A16" s="721" t="s">
        <v>378</v>
      </c>
      <c r="B16" s="179" t="s">
        <v>171</v>
      </c>
      <c r="C16" s="45" t="s">
        <v>94</v>
      </c>
      <c r="D16" s="271">
        <f>D15</f>
        <v>174.66666666666666</v>
      </c>
    </row>
    <row r="17" spans="1:6" s="55" customFormat="1" x14ac:dyDescent="0.2">
      <c r="A17" s="269" t="s">
        <v>502</v>
      </c>
      <c r="B17" s="179" t="s">
        <v>170</v>
      </c>
      <c r="C17" s="45" t="s">
        <v>94</v>
      </c>
      <c r="D17" s="271">
        <f>3242.11/30</f>
        <v>108.07033333333334</v>
      </c>
    </row>
    <row r="18" spans="1:6" s="55" customFormat="1" x14ac:dyDescent="0.2">
      <c r="A18" s="269" t="s">
        <v>501</v>
      </c>
      <c r="B18" s="179" t="s">
        <v>171</v>
      </c>
      <c r="C18" s="45" t="s">
        <v>94</v>
      </c>
      <c r="D18" s="271"/>
    </row>
    <row r="19" spans="1:6" s="55" customFormat="1" x14ac:dyDescent="0.2">
      <c r="A19" s="722" t="s">
        <v>374</v>
      </c>
      <c r="B19" s="179" t="s">
        <v>170</v>
      </c>
      <c r="C19" s="45" t="s">
        <v>94</v>
      </c>
      <c r="D19" s="271">
        <f>2150/30</f>
        <v>71.666666666666671</v>
      </c>
    </row>
    <row r="20" spans="1:6" s="55" customFormat="1" x14ac:dyDescent="0.2">
      <c r="A20" s="269" t="s">
        <v>379</v>
      </c>
      <c r="B20" s="179" t="s">
        <v>170</v>
      </c>
      <c r="C20" s="203" t="s">
        <v>94</v>
      </c>
      <c r="D20" s="271">
        <v>73.59</v>
      </c>
    </row>
    <row r="21" spans="1:6" s="55" customFormat="1" x14ac:dyDescent="0.2">
      <c r="E21" s="257"/>
    </row>
    <row r="22" spans="1:6" s="55" customFormat="1" x14ac:dyDescent="0.2"/>
    <row r="23" spans="1:6" s="55" customFormat="1" x14ac:dyDescent="0.2"/>
    <row r="24" spans="1:6" s="55" customFormat="1" x14ac:dyDescent="0.2"/>
    <row r="25" spans="1:6" s="55" customFormat="1" x14ac:dyDescent="0.2"/>
    <row r="26" spans="1:6" s="254" customFormat="1" x14ac:dyDescent="0.2"/>
    <row r="27" spans="1:6" x14ac:dyDescent="0.2">
      <c r="A27" s="36"/>
      <c r="B27" s="37"/>
      <c r="C27" s="38"/>
      <c r="D27" s="270"/>
    </row>
    <row r="28" spans="1:6" s="19" customFormat="1" x14ac:dyDescent="0.2">
      <c r="A28" s="36"/>
      <c r="B28" s="37"/>
      <c r="C28" s="38"/>
      <c r="D28" s="270"/>
      <c r="E28"/>
      <c r="F28"/>
    </row>
    <row r="29" spans="1:6" s="19" customFormat="1" x14ac:dyDescent="0.2">
      <c r="A29" s="36"/>
      <c r="B29" s="37"/>
      <c r="C29" s="38"/>
      <c r="D29" s="270"/>
      <c r="E29"/>
      <c r="F29"/>
    </row>
    <row r="30" spans="1:6" s="19" customFormat="1" x14ac:dyDescent="0.2">
      <c r="A30" s="36"/>
      <c r="B30" s="37"/>
      <c r="C30" s="38"/>
      <c r="D30" s="270"/>
      <c r="E30"/>
      <c r="F30"/>
    </row>
    <row r="31" spans="1:6" s="19" customFormat="1" x14ac:dyDescent="0.2">
      <c r="A31" s="36"/>
      <c r="B31" s="37"/>
      <c r="C31" s="38"/>
      <c r="D31" s="270"/>
      <c r="E31"/>
      <c r="F31"/>
    </row>
    <row r="32" spans="1:6" s="19" customFormat="1" x14ac:dyDescent="0.2">
      <c r="A32" s="36"/>
      <c r="B32" s="37"/>
      <c r="C32" s="38"/>
      <c r="D32" s="270"/>
      <c r="E32"/>
      <c r="F32"/>
    </row>
    <row r="33" spans="1:6" s="19" customFormat="1" x14ac:dyDescent="0.2">
      <c r="A33" s="36"/>
      <c r="B33" s="37"/>
      <c r="C33" s="38"/>
      <c r="D33" s="270"/>
      <c r="E33"/>
      <c r="F33"/>
    </row>
    <row r="34" spans="1:6" s="19" customFormat="1" x14ac:dyDescent="0.2">
      <c r="A34" s="36"/>
      <c r="B34" s="37"/>
      <c r="C34" s="38"/>
      <c r="D34" s="270"/>
      <c r="E34"/>
      <c r="F34"/>
    </row>
    <row r="35" spans="1:6" s="19" customFormat="1" x14ac:dyDescent="0.2">
      <c r="A35" s="36"/>
      <c r="B35" s="37"/>
      <c r="C35" s="38"/>
      <c r="D35" s="270"/>
      <c r="E35"/>
      <c r="F35"/>
    </row>
    <row r="36" spans="1:6" s="19" customFormat="1" x14ac:dyDescent="0.2">
      <c r="A36" s="36"/>
      <c r="B36" s="37"/>
      <c r="C36" s="38"/>
      <c r="D36" s="270"/>
      <c r="E36"/>
      <c r="F36"/>
    </row>
  </sheetData>
  <pageMargins left="0.7" right="0.7" top="0.75" bottom="0.75" header="0.3" footer="0.3"/>
  <pageSetup orientation="landscape" verticalDpi="0" r:id="rId1"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MR</vt:lpstr>
      <vt:lpstr>PC</vt:lpstr>
      <vt:lpstr>I&amp;M</vt:lpstr>
      <vt:lpstr>RRCC</vt:lpstr>
      <vt:lpstr>RRI</vt:lpstr>
      <vt:lpstr>ADMON</vt:lpstr>
      <vt:lpstr>PST</vt:lpstr>
      <vt:lpstr>Planilla PNSL</vt:lpstr>
      <vt:lpstr>ADMON!Área_de_impresión</vt:lpstr>
      <vt:lpstr>'I&amp;M'!Área_de_impresión</vt:lpstr>
      <vt:lpstr>MR!Área_de_impresión</vt:lpstr>
      <vt:lpstr>PC!Área_de_impresión</vt:lpstr>
      <vt:lpstr>'Planilla PNSL'!Área_de_impresión</vt:lpstr>
      <vt:lpstr>PST!Área_de_impresión</vt:lpstr>
      <vt:lpstr>RRI!Área_de_impresión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Recepción</cp:lastModifiedBy>
  <cp:lastPrinted>2021-05-17T22:20:05Z</cp:lastPrinted>
  <dcterms:created xsi:type="dcterms:W3CDTF">2001-01-15T17:49:33Z</dcterms:created>
  <dcterms:modified xsi:type="dcterms:W3CDTF">2021-05-17T22:51:22Z</dcterms:modified>
</cp:coreProperties>
</file>